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CE\Desktop\"/>
    </mc:Choice>
  </mc:AlternateContent>
  <bookViews>
    <workbookView xWindow="0" yWindow="0" windowWidth="23040" windowHeight="9384"/>
  </bookViews>
  <sheets>
    <sheet name="planning" sheetId="1" r:id="rId1"/>
  </sheets>
  <externalReferences>
    <externalReference r:id="rId2"/>
  </externalReferences>
  <definedNames>
    <definedName name="_xlnm.Print_Area" localSheetId="0">planning!$A$1:$V$416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5" i="1" l="1"/>
  <c r="T377" i="1"/>
  <c r="S377" i="1"/>
  <c r="Q377" i="1"/>
  <c r="P377" i="1"/>
  <c r="T375" i="1"/>
  <c r="S375" i="1"/>
  <c r="Q375" i="1"/>
  <c r="P375" i="1"/>
  <c r="T373" i="1"/>
  <c r="S373" i="1"/>
  <c r="Q373" i="1"/>
  <c r="P373" i="1"/>
  <c r="T369" i="1"/>
  <c r="S369" i="1"/>
  <c r="Q369" i="1"/>
  <c r="P369" i="1"/>
  <c r="T367" i="1"/>
  <c r="S367" i="1"/>
  <c r="Q367" i="1"/>
  <c r="P367" i="1"/>
  <c r="T365" i="1"/>
  <c r="S365" i="1"/>
  <c r="Q365" i="1"/>
  <c r="P365" i="1"/>
  <c r="N365" i="1"/>
  <c r="B369" i="1" s="1"/>
  <c r="T361" i="1"/>
  <c r="S361" i="1"/>
  <c r="Q361" i="1"/>
  <c r="P361" i="1"/>
  <c r="T359" i="1"/>
  <c r="S359" i="1"/>
  <c r="Q359" i="1"/>
  <c r="P359" i="1"/>
  <c r="U357" i="1"/>
  <c r="T357" i="1"/>
  <c r="S357" i="1"/>
  <c r="Q357" i="1"/>
  <c r="P357" i="1"/>
  <c r="N357" i="1"/>
  <c r="B361" i="1" s="1"/>
  <c r="G355" i="1"/>
  <c r="T353" i="1"/>
  <c r="S353" i="1"/>
  <c r="Q353" i="1"/>
  <c r="P353" i="1"/>
  <c r="N353" i="1"/>
  <c r="G363" i="1" s="1"/>
  <c r="G353" i="1"/>
  <c r="T351" i="1"/>
  <c r="S351" i="1"/>
  <c r="Q351" i="1"/>
  <c r="P351" i="1"/>
  <c r="G369" i="1" s="1"/>
  <c r="N351" i="1"/>
  <c r="G361" i="1" s="1"/>
  <c r="G351" i="1"/>
  <c r="T342" i="1"/>
  <c r="S342" i="1"/>
  <c r="Q342" i="1"/>
  <c r="P342" i="1"/>
  <c r="H408" i="1" s="1"/>
  <c r="N342" i="1"/>
  <c r="U342" i="1" s="1"/>
  <c r="T340" i="1"/>
  <c r="S340" i="1"/>
  <c r="Q340" i="1"/>
  <c r="P340" i="1"/>
  <c r="T337" i="1"/>
  <c r="S337" i="1"/>
  <c r="Q337" i="1"/>
  <c r="P337" i="1"/>
  <c r="N340" i="1" s="1"/>
  <c r="N337" i="1"/>
  <c r="G337" i="1"/>
  <c r="B353" i="1" s="1"/>
  <c r="T335" i="1"/>
  <c r="S335" i="1"/>
  <c r="Q335" i="1"/>
  <c r="P335" i="1"/>
  <c r="N335" i="1"/>
  <c r="G335" i="1"/>
  <c r="B351" i="1" s="1"/>
  <c r="T331" i="1"/>
  <c r="S331" i="1"/>
  <c r="Q331" i="1"/>
  <c r="P331" i="1"/>
  <c r="T329" i="1"/>
  <c r="S329" i="1"/>
  <c r="Q329" i="1"/>
  <c r="P329" i="1"/>
  <c r="T326" i="1"/>
  <c r="S326" i="1"/>
  <c r="Q326" i="1"/>
  <c r="P326" i="1"/>
  <c r="N326" i="1"/>
  <c r="G326" i="1"/>
  <c r="T324" i="1"/>
  <c r="S324" i="1"/>
  <c r="Q324" i="1"/>
  <c r="P324" i="1"/>
  <c r="G331" i="1" s="1"/>
  <c r="N324" i="1"/>
  <c r="G324" i="1"/>
  <c r="G329" i="1" s="1"/>
  <c r="T315" i="1"/>
  <c r="S315" i="1"/>
  <c r="Q315" i="1"/>
  <c r="P315" i="1"/>
  <c r="T313" i="1"/>
  <c r="S313" i="1"/>
  <c r="Q313" i="1"/>
  <c r="P313" i="1"/>
  <c r="T311" i="1"/>
  <c r="S311" i="1"/>
  <c r="Q311" i="1"/>
  <c r="P311" i="1"/>
  <c r="T309" i="1"/>
  <c r="S309" i="1"/>
  <c r="Q309" i="1"/>
  <c r="P309" i="1"/>
  <c r="T306" i="1"/>
  <c r="S306" i="1"/>
  <c r="Q306" i="1"/>
  <c r="P306" i="1"/>
  <c r="T304" i="1"/>
  <c r="S304" i="1"/>
  <c r="Q304" i="1"/>
  <c r="P304" i="1"/>
  <c r="T302" i="1"/>
  <c r="S302" i="1"/>
  <c r="Q302" i="1"/>
  <c r="P302" i="1"/>
  <c r="T300" i="1"/>
  <c r="S300" i="1"/>
  <c r="Q300" i="1"/>
  <c r="P300" i="1"/>
  <c r="G313" i="1" s="1"/>
  <c r="N300" i="1"/>
  <c r="T297" i="1"/>
  <c r="S297" i="1"/>
  <c r="Q297" i="1"/>
  <c r="P297" i="1"/>
  <c r="N297" i="1"/>
  <c r="G297" i="1"/>
  <c r="T295" i="1"/>
  <c r="S295" i="1"/>
  <c r="Q295" i="1"/>
  <c r="P295" i="1"/>
  <c r="N295" i="1"/>
  <c r="N304" i="1" s="1"/>
  <c r="G295" i="1"/>
  <c r="T293" i="1"/>
  <c r="S293" i="1"/>
  <c r="Q293" i="1"/>
  <c r="P293" i="1"/>
  <c r="N293" i="1"/>
  <c r="G293" i="1"/>
  <c r="T291" i="1"/>
  <c r="S291" i="1"/>
  <c r="Q291" i="1"/>
  <c r="P291" i="1"/>
  <c r="G304" i="1" s="1"/>
  <c r="N291" i="1"/>
  <c r="G291" i="1"/>
  <c r="T282" i="1"/>
  <c r="S282" i="1"/>
  <c r="Q282" i="1"/>
  <c r="P282" i="1"/>
  <c r="T280" i="1"/>
  <c r="S280" i="1"/>
  <c r="Q280" i="1"/>
  <c r="P280" i="1"/>
  <c r="T278" i="1"/>
  <c r="S278" i="1"/>
  <c r="Q278" i="1"/>
  <c r="P278" i="1"/>
  <c r="T277" i="1"/>
  <c r="S277" i="1"/>
  <c r="Q277" i="1"/>
  <c r="P277" i="1"/>
  <c r="T274" i="1"/>
  <c r="S274" i="1"/>
  <c r="Q274" i="1"/>
  <c r="P274" i="1"/>
  <c r="N277" i="1" s="1"/>
  <c r="N274" i="1"/>
  <c r="T272" i="1"/>
  <c r="S272" i="1"/>
  <c r="Q272" i="1"/>
  <c r="P272" i="1"/>
  <c r="T270" i="1"/>
  <c r="S270" i="1"/>
  <c r="Q270" i="1"/>
  <c r="P270" i="1"/>
  <c r="T268" i="1"/>
  <c r="S268" i="1"/>
  <c r="Q268" i="1"/>
  <c r="P268" i="1"/>
  <c r="T265" i="1"/>
  <c r="S265" i="1"/>
  <c r="Q265" i="1"/>
  <c r="P265" i="1"/>
  <c r="N270" i="1" s="1"/>
  <c r="N265" i="1"/>
  <c r="G265" i="1"/>
  <c r="T263" i="1"/>
  <c r="S263" i="1"/>
  <c r="Q263" i="1"/>
  <c r="P263" i="1"/>
  <c r="N263" i="1"/>
  <c r="G263" i="1"/>
  <c r="T261" i="1"/>
  <c r="S261" i="1"/>
  <c r="Q261" i="1"/>
  <c r="P261" i="1"/>
  <c r="G274" i="1" s="1"/>
  <c r="N261" i="1"/>
  <c r="G261" i="1"/>
  <c r="T259" i="1"/>
  <c r="S259" i="1"/>
  <c r="Q259" i="1"/>
  <c r="G272" i="1" s="1"/>
  <c r="G278" i="1" s="1"/>
  <c r="P259" i="1"/>
  <c r="N259" i="1"/>
  <c r="G259" i="1"/>
  <c r="T250" i="1"/>
  <c r="S250" i="1"/>
  <c r="Q250" i="1"/>
  <c r="P250" i="1"/>
  <c r="T249" i="1"/>
  <c r="S249" i="1"/>
  <c r="Q249" i="1"/>
  <c r="P249" i="1"/>
  <c r="H383" i="1" s="1"/>
  <c r="T247" i="1"/>
  <c r="S247" i="1"/>
  <c r="Q247" i="1"/>
  <c r="P247" i="1"/>
  <c r="T245" i="1"/>
  <c r="S245" i="1"/>
  <c r="Q245" i="1"/>
  <c r="P245" i="1"/>
  <c r="H384" i="1" s="1"/>
  <c r="T241" i="1"/>
  <c r="S241" i="1"/>
  <c r="Q241" i="1"/>
  <c r="P241" i="1"/>
  <c r="T239" i="1"/>
  <c r="S239" i="1"/>
  <c r="Q239" i="1"/>
  <c r="P239" i="1"/>
  <c r="T237" i="1"/>
  <c r="S237" i="1"/>
  <c r="Q237" i="1"/>
  <c r="P237" i="1"/>
  <c r="T235" i="1"/>
  <c r="S235" i="1"/>
  <c r="Q235" i="1"/>
  <c r="P235" i="1"/>
  <c r="G235" i="1"/>
  <c r="B268" i="1" s="1"/>
  <c r="T232" i="1"/>
  <c r="S232" i="1"/>
  <c r="Q232" i="1"/>
  <c r="P232" i="1"/>
  <c r="N232" i="1"/>
  <c r="G232" i="1"/>
  <c r="T230" i="1"/>
  <c r="S230" i="1"/>
  <c r="Q230" i="1"/>
  <c r="P230" i="1"/>
  <c r="N230" i="1"/>
  <c r="G230" i="1"/>
  <c r="T228" i="1"/>
  <c r="S228" i="1"/>
  <c r="Q228" i="1"/>
  <c r="P228" i="1"/>
  <c r="N228" i="1"/>
  <c r="G228" i="1"/>
  <c r="T226" i="1"/>
  <c r="S226" i="1"/>
  <c r="Q226" i="1"/>
  <c r="P226" i="1"/>
  <c r="N226" i="1"/>
  <c r="G226" i="1"/>
  <c r="G239" i="1" s="1"/>
  <c r="G245" i="1" s="1"/>
  <c r="T217" i="1"/>
  <c r="S217" i="1"/>
  <c r="Q217" i="1"/>
  <c r="P217" i="1"/>
  <c r="T215" i="1"/>
  <c r="S215" i="1"/>
  <c r="Q215" i="1"/>
  <c r="P215" i="1"/>
  <c r="G215" i="1"/>
  <c r="Y212" i="1"/>
  <c r="T212" i="1"/>
  <c r="S212" i="1"/>
  <c r="Q212" i="1"/>
  <c r="P212" i="1"/>
  <c r="B212" i="1"/>
  <c r="G217" i="1" s="1"/>
  <c r="AB211" i="1"/>
  <c r="Y211" i="1"/>
  <c r="T211" i="1"/>
  <c r="S211" i="1"/>
  <c r="AE212" i="1" s="1"/>
  <c r="Q211" i="1"/>
  <c r="AA212" i="1" s="1"/>
  <c r="P211" i="1"/>
  <c r="AB212" i="1" s="1"/>
  <c r="N211" i="1"/>
  <c r="G211" i="1"/>
  <c r="B211" i="1"/>
  <c r="N217" i="1" s="1"/>
  <c r="AB210" i="1"/>
  <c r="B210" i="1"/>
  <c r="N212" i="1" s="1"/>
  <c r="AB209" i="1"/>
  <c r="Y209" i="1"/>
  <c r="T209" i="1"/>
  <c r="S209" i="1"/>
  <c r="Q209" i="1"/>
  <c r="P209" i="1"/>
  <c r="N209" i="1"/>
  <c r="G209" i="1"/>
  <c r="B209" i="1"/>
  <c r="T208" i="1"/>
  <c r="AD210" i="1" s="1"/>
  <c r="S208" i="1"/>
  <c r="AD209" i="1" s="1"/>
  <c r="Q208" i="1"/>
  <c r="Z210" i="1" s="1"/>
  <c r="P208" i="1"/>
  <c r="AA209" i="1" s="1"/>
  <c r="N208" i="1"/>
  <c r="G208" i="1"/>
  <c r="T199" i="1"/>
  <c r="S199" i="1"/>
  <c r="Q199" i="1"/>
  <c r="P199" i="1"/>
  <c r="B199" i="1"/>
  <c r="AD198" i="1"/>
  <c r="T198" i="1"/>
  <c r="S198" i="1"/>
  <c r="AE198" i="1" s="1"/>
  <c r="AF198" i="1" s="1"/>
  <c r="Q198" i="1"/>
  <c r="P198" i="1"/>
  <c r="AB198" i="1" s="1"/>
  <c r="B198" i="1"/>
  <c r="AD197" i="1"/>
  <c r="T197" i="1"/>
  <c r="S197" i="1"/>
  <c r="AE197" i="1" s="1"/>
  <c r="AF197" i="1" s="1"/>
  <c r="Q197" i="1"/>
  <c r="P197" i="1"/>
  <c r="AB197" i="1" s="1"/>
  <c r="B197" i="1"/>
  <c r="AE196" i="1"/>
  <c r="AD196" i="1"/>
  <c r="AF196" i="1" s="1"/>
  <c r="Y196" i="1"/>
  <c r="T192" i="1"/>
  <c r="S192" i="1"/>
  <c r="AE191" i="1" s="1"/>
  <c r="AF191" i="1" s="1"/>
  <c r="Q192" i="1"/>
  <c r="P192" i="1"/>
  <c r="B192" i="1"/>
  <c r="AD191" i="1"/>
  <c r="AC191" i="1"/>
  <c r="Y191" i="1"/>
  <c r="T191" i="1"/>
  <c r="S191" i="1"/>
  <c r="Q191" i="1"/>
  <c r="P191" i="1"/>
  <c r="AB191" i="1" s="1"/>
  <c r="B191" i="1"/>
  <c r="AD190" i="1"/>
  <c r="Y190" i="1"/>
  <c r="T190" i="1"/>
  <c r="S190" i="1"/>
  <c r="AE190" i="1" s="1"/>
  <c r="AF190" i="1" s="1"/>
  <c r="Q190" i="1"/>
  <c r="P190" i="1"/>
  <c r="B190" i="1"/>
  <c r="Y189" i="1" s="1"/>
  <c r="AF189" i="1"/>
  <c r="AE189" i="1"/>
  <c r="AD189" i="1"/>
  <c r="T185" i="1"/>
  <c r="S185" i="1"/>
  <c r="Q185" i="1"/>
  <c r="P185" i="1"/>
  <c r="B185" i="1"/>
  <c r="AD184" i="1"/>
  <c r="AC184" i="1"/>
  <c r="T184" i="1"/>
  <c r="S184" i="1"/>
  <c r="AE184" i="1" s="1"/>
  <c r="AF184" i="1" s="1"/>
  <c r="Q184" i="1"/>
  <c r="P184" i="1"/>
  <c r="AB184" i="1" s="1"/>
  <c r="B184" i="1"/>
  <c r="AD183" i="1"/>
  <c r="T183" i="1"/>
  <c r="S183" i="1"/>
  <c r="AE183" i="1" s="1"/>
  <c r="AF183" i="1" s="1"/>
  <c r="Q183" i="1"/>
  <c r="P183" i="1"/>
  <c r="B183" i="1"/>
  <c r="AF182" i="1"/>
  <c r="AE182" i="1"/>
  <c r="AD182" i="1"/>
  <c r="T174" i="1"/>
  <c r="S174" i="1"/>
  <c r="AE173" i="1" s="1"/>
  <c r="AF173" i="1" s="1"/>
  <c r="Q174" i="1"/>
  <c r="P174" i="1"/>
  <c r="B174" i="1"/>
  <c r="AD173" i="1"/>
  <c r="Y173" i="1"/>
  <c r="T173" i="1"/>
  <c r="S173" i="1"/>
  <c r="Q173" i="1"/>
  <c r="P173" i="1"/>
  <c r="AB173" i="1" s="1"/>
  <c r="B173" i="1"/>
  <c r="Y172" i="1" s="1"/>
  <c r="AD172" i="1"/>
  <c r="V172" i="1"/>
  <c r="T172" i="1"/>
  <c r="S172" i="1"/>
  <c r="AE172" i="1" s="1"/>
  <c r="AF172" i="1" s="1"/>
  <c r="Q172" i="1"/>
  <c r="P172" i="1"/>
  <c r="B172" i="1"/>
  <c r="AF171" i="1"/>
  <c r="AE171" i="1"/>
  <c r="AD171" i="1"/>
  <c r="T167" i="1"/>
  <c r="S167" i="1"/>
  <c r="Q167" i="1"/>
  <c r="P167" i="1"/>
  <c r="B167" i="1"/>
  <c r="AD166" i="1"/>
  <c r="AB166" i="1"/>
  <c r="T166" i="1"/>
  <c r="S166" i="1"/>
  <c r="AE166" i="1" s="1"/>
  <c r="AF166" i="1" s="1"/>
  <c r="Q166" i="1"/>
  <c r="P166" i="1"/>
  <c r="B166" i="1"/>
  <c r="AF165" i="1"/>
  <c r="AD165" i="1"/>
  <c r="AB165" i="1"/>
  <c r="AC165" i="1" s="1"/>
  <c r="Z165" i="1"/>
  <c r="T165" i="1"/>
  <c r="S165" i="1"/>
  <c r="AE165" i="1" s="1"/>
  <c r="Q165" i="1"/>
  <c r="AA165" i="1" s="1"/>
  <c r="P165" i="1"/>
  <c r="G165" i="1"/>
  <c r="B165" i="1"/>
  <c r="AE164" i="1"/>
  <c r="AD164" i="1"/>
  <c r="AF164" i="1" s="1"/>
  <c r="AB164" i="1"/>
  <c r="Y164" i="1"/>
  <c r="T156" i="1"/>
  <c r="S156" i="1"/>
  <c r="Q156" i="1"/>
  <c r="P156" i="1"/>
  <c r="B156" i="1"/>
  <c r="Y155" i="1" s="1"/>
  <c r="AE155" i="1"/>
  <c r="T155" i="1"/>
  <c r="AD155" i="1" s="1"/>
  <c r="AF155" i="1" s="1"/>
  <c r="S155" i="1"/>
  <c r="Q155" i="1"/>
  <c r="P155" i="1"/>
  <c r="B155" i="1"/>
  <c r="AE154" i="1"/>
  <c r="AB154" i="1"/>
  <c r="T154" i="1"/>
  <c r="AD154" i="1" s="1"/>
  <c r="AF154" i="1" s="1"/>
  <c r="S154" i="1"/>
  <c r="Q154" i="1"/>
  <c r="P154" i="1"/>
  <c r="B154" i="1"/>
  <c r="AF153" i="1"/>
  <c r="AE153" i="1"/>
  <c r="AD153" i="1"/>
  <c r="AB153" i="1"/>
  <c r="T149" i="1"/>
  <c r="AD148" i="1" s="1"/>
  <c r="S149" i="1"/>
  <c r="Q149" i="1"/>
  <c r="P149" i="1"/>
  <c r="B149" i="1"/>
  <c r="AF148" i="1"/>
  <c r="AE148" i="1"/>
  <c r="AB148" i="1"/>
  <c r="Y148" i="1"/>
  <c r="T148" i="1"/>
  <c r="S148" i="1"/>
  <c r="Q148" i="1"/>
  <c r="P148" i="1"/>
  <c r="B148" i="1"/>
  <c r="G148" i="1" s="1"/>
  <c r="AF147" i="1"/>
  <c r="AE147" i="1"/>
  <c r="Y147" i="1"/>
  <c r="V147" i="1"/>
  <c r="T147" i="1"/>
  <c r="AD147" i="1" s="1"/>
  <c r="S147" i="1"/>
  <c r="Q147" i="1"/>
  <c r="P147" i="1"/>
  <c r="AA146" i="1" s="1"/>
  <c r="B147" i="1"/>
  <c r="AE146" i="1"/>
  <c r="AF146" i="1" s="1"/>
  <c r="AD146" i="1"/>
  <c r="AB146" i="1"/>
  <c r="AC146" i="1" s="1"/>
  <c r="V142" i="1"/>
  <c r="T142" i="1"/>
  <c r="S142" i="1"/>
  <c r="Q142" i="1"/>
  <c r="P142" i="1"/>
  <c r="B142" i="1"/>
  <c r="AE141" i="1"/>
  <c r="AB141" i="1"/>
  <c r="V141" i="1"/>
  <c r="T141" i="1"/>
  <c r="S141" i="1"/>
  <c r="Q141" i="1"/>
  <c r="P141" i="1"/>
  <c r="B141" i="1"/>
  <c r="G141" i="1" s="1"/>
  <c r="Y140" i="1"/>
  <c r="T140" i="1"/>
  <c r="AD140" i="1" s="1"/>
  <c r="S140" i="1"/>
  <c r="Q140" i="1"/>
  <c r="P140" i="1"/>
  <c r="AA139" i="1" s="1"/>
  <c r="N140" i="1"/>
  <c r="B140" i="1"/>
  <c r="AE139" i="1"/>
  <c r="AF139" i="1" s="1"/>
  <c r="AD139" i="1"/>
  <c r="AB139" i="1"/>
  <c r="AC139" i="1" s="1"/>
  <c r="V131" i="1"/>
  <c r="T131" i="1"/>
  <c r="S131" i="1"/>
  <c r="Q131" i="1"/>
  <c r="P131" i="1"/>
  <c r="B131" i="1"/>
  <c r="AE130" i="1"/>
  <c r="AB130" i="1"/>
  <c r="V130" i="1"/>
  <c r="T130" i="1"/>
  <c r="S130" i="1"/>
  <c r="Q130" i="1"/>
  <c r="P130" i="1"/>
  <c r="B130" i="1"/>
  <c r="G130" i="1" s="1"/>
  <c r="Y129" i="1"/>
  <c r="T129" i="1"/>
  <c r="AD129" i="1" s="1"/>
  <c r="S129" i="1"/>
  <c r="Q129" i="1"/>
  <c r="P129" i="1"/>
  <c r="N129" i="1"/>
  <c r="B129" i="1"/>
  <c r="AE128" i="1"/>
  <c r="AF128" i="1" s="1"/>
  <c r="AD128" i="1"/>
  <c r="AB128" i="1"/>
  <c r="AC128" i="1" s="1"/>
  <c r="V124" i="1"/>
  <c r="T124" i="1"/>
  <c r="S124" i="1"/>
  <c r="Q124" i="1"/>
  <c r="P124" i="1"/>
  <c r="B124" i="1"/>
  <c r="N123" i="1" s="1"/>
  <c r="AE123" i="1"/>
  <c r="AB123" i="1"/>
  <c r="V123" i="1"/>
  <c r="T123" i="1"/>
  <c r="AE122" i="1" s="1"/>
  <c r="AF122" i="1" s="1"/>
  <c r="S123" i="1"/>
  <c r="Q123" i="1"/>
  <c r="AA123" i="1" s="1"/>
  <c r="P123" i="1"/>
  <c r="B123" i="1"/>
  <c r="G123" i="1" s="1"/>
  <c r="Y122" i="1"/>
  <c r="V122" i="1"/>
  <c r="T122" i="1"/>
  <c r="AD122" i="1" s="1"/>
  <c r="S122" i="1"/>
  <c r="Q122" i="1"/>
  <c r="P122" i="1"/>
  <c r="AA121" i="1" s="1"/>
  <c r="N122" i="1"/>
  <c r="B122" i="1"/>
  <c r="AE121" i="1"/>
  <c r="AF121" i="1" s="1"/>
  <c r="AD121" i="1"/>
  <c r="AB121" i="1"/>
  <c r="AC121" i="1" s="1"/>
  <c r="V117" i="1"/>
  <c r="T117" i="1"/>
  <c r="AD116" i="1" s="1"/>
  <c r="S117" i="1"/>
  <c r="Q117" i="1"/>
  <c r="P117" i="1"/>
  <c r="N117" i="1"/>
  <c r="B117" i="1"/>
  <c r="Y116" i="1" s="1"/>
  <c r="AE116" i="1"/>
  <c r="AB116" i="1"/>
  <c r="AC116" i="1" s="1"/>
  <c r="V116" i="1"/>
  <c r="T116" i="1"/>
  <c r="S116" i="1"/>
  <c r="Q116" i="1"/>
  <c r="AA116" i="1" s="1"/>
  <c r="P116" i="1"/>
  <c r="B116" i="1"/>
  <c r="G116" i="1" s="1"/>
  <c r="AE115" i="1"/>
  <c r="AF115" i="1" s="1"/>
  <c r="Y115" i="1"/>
  <c r="T115" i="1"/>
  <c r="AD115" i="1" s="1"/>
  <c r="S115" i="1"/>
  <c r="Q115" i="1"/>
  <c r="P115" i="1"/>
  <c r="N115" i="1"/>
  <c r="B115" i="1"/>
  <c r="AF114" i="1"/>
  <c r="AE114" i="1"/>
  <c r="AD114" i="1"/>
  <c r="AB114" i="1"/>
  <c r="AC114" i="1" s="1"/>
  <c r="AA114" i="1"/>
  <c r="T106" i="1"/>
  <c r="S106" i="1"/>
  <c r="Q106" i="1"/>
  <c r="P106" i="1"/>
  <c r="N106" i="1"/>
  <c r="G106" i="1"/>
  <c r="T105" i="1"/>
  <c r="S105" i="1"/>
  <c r="Q105" i="1"/>
  <c r="P105" i="1"/>
  <c r="N105" i="1"/>
  <c r="G105" i="1"/>
  <c r="AE104" i="1"/>
  <c r="Y104" i="1"/>
  <c r="T104" i="1"/>
  <c r="S104" i="1"/>
  <c r="Q104" i="1"/>
  <c r="P104" i="1"/>
  <c r="Z103" i="1" s="1"/>
  <c r="N104" i="1"/>
  <c r="G104" i="1"/>
  <c r="AD103" i="1"/>
  <c r="Y103" i="1"/>
  <c r="AD102" i="1"/>
  <c r="Y102" i="1"/>
  <c r="T102" i="1"/>
  <c r="S102" i="1"/>
  <c r="Q102" i="1"/>
  <c r="AA104" i="1" s="1"/>
  <c r="P102" i="1"/>
  <c r="N102" i="1"/>
  <c r="G102" i="1"/>
  <c r="AB101" i="1"/>
  <c r="AC101" i="1" s="1"/>
  <c r="Y101" i="1"/>
  <c r="T101" i="1"/>
  <c r="AE101" i="1" s="1"/>
  <c r="S101" i="1"/>
  <c r="Q101" i="1"/>
  <c r="P101" i="1"/>
  <c r="AB103" i="1" s="1"/>
  <c r="N101" i="1"/>
  <c r="G101" i="1"/>
  <c r="T100" i="1"/>
  <c r="S100" i="1"/>
  <c r="Q100" i="1"/>
  <c r="P100" i="1"/>
  <c r="Z102" i="1" s="1"/>
  <c r="N100" i="1"/>
  <c r="G100" i="1"/>
  <c r="V95" i="1"/>
  <c r="T95" i="1"/>
  <c r="AD93" i="1" s="1"/>
  <c r="S95" i="1"/>
  <c r="Q95" i="1"/>
  <c r="P95" i="1"/>
  <c r="N95" i="1"/>
  <c r="G95" i="1"/>
  <c r="V94" i="1"/>
  <c r="T94" i="1"/>
  <c r="S94" i="1"/>
  <c r="AE93" i="1" s="1"/>
  <c r="Q94" i="1"/>
  <c r="P94" i="1"/>
  <c r="N94" i="1"/>
  <c r="G94" i="1"/>
  <c r="AA93" i="1"/>
  <c r="Z93" i="1"/>
  <c r="Y93" i="1"/>
  <c r="Z92" i="1"/>
  <c r="Y92" i="1"/>
  <c r="V92" i="1"/>
  <c r="T92" i="1"/>
  <c r="S92" i="1"/>
  <c r="Q92" i="1"/>
  <c r="AB91" i="1" s="1"/>
  <c r="AC91" i="1" s="1"/>
  <c r="P92" i="1"/>
  <c r="AB92" i="1" s="1"/>
  <c r="N92" i="1"/>
  <c r="G92" i="1"/>
  <c r="Y91" i="1"/>
  <c r="V87" i="1"/>
  <c r="T87" i="1"/>
  <c r="S87" i="1"/>
  <c r="Q87" i="1"/>
  <c r="AB83" i="1" s="1"/>
  <c r="AC83" i="1" s="1"/>
  <c r="P87" i="1"/>
  <c r="AA83" i="1" s="1"/>
  <c r="N87" i="1"/>
  <c r="G87" i="1"/>
  <c r="V86" i="1"/>
  <c r="T86" i="1"/>
  <c r="S86" i="1"/>
  <c r="Q86" i="1"/>
  <c r="P86" i="1"/>
  <c r="AB85" i="1" s="1"/>
  <c r="N86" i="1"/>
  <c r="G86" i="1"/>
  <c r="AE85" i="1"/>
  <c r="AD85" i="1"/>
  <c r="Y85" i="1"/>
  <c r="AE84" i="1"/>
  <c r="AF84" i="1" s="1"/>
  <c r="AD84" i="1"/>
  <c r="Y84" i="1"/>
  <c r="V84" i="1"/>
  <c r="T84" i="1"/>
  <c r="AE83" i="1" s="1"/>
  <c r="S84" i="1"/>
  <c r="Q84" i="1"/>
  <c r="P84" i="1"/>
  <c r="AB84" i="1" s="1"/>
  <c r="N84" i="1"/>
  <c r="G84" i="1"/>
  <c r="AD83" i="1"/>
  <c r="Y83" i="1"/>
  <c r="V75" i="1"/>
  <c r="T75" i="1"/>
  <c r="S75" i="1"/>
  <c r="Q75" i="1"/>
  <c r="AB72" i="1" s="1"/>
  <c r="AC72" i="1" s="1"/>
  <c r="P75" i="1"/>
  <c r="N75" i="1"/>
  <c r="G75" i="1"/>
  <c r="AD74" i="1"/>
  <c r="Y74" i="1"/>
  <c r="V74" i="1"/>
  <c r="T74" i="1"/>
  <c r="S74" i="1"/>
  <c r="AE74" i="1" s="1"/>
  <c r="AF74" i="1" s="1"/>
  <c r="Q74" i="1"/>
  <c r="P74" i="1"/>
  <c r="AB74" i="1" s="1"/>
  <c r="N74" i="1"/>
  <c r="G74" i="1"/>
  <c r="AE73" i="1"/>
  <c r="AF73" i="1" s="1"/>
  <c r="Y73" i="1"/>
  <c r="V73" i="1"/>
  <c r="T73" i="1"/>
  <c r="AD73" i="1" s="1"/>
  <c r="S73" i="1"/>
  <c r="Q73" i="1"/>
  <c r="P73" i="1"/>
  <c r="AB73" i="1" s="1"/>
  <c r="N73" i="1"/>
  <c r="G73" i="1"/>
  <c r="AD72" i="1"/>
  <c r="Y72" i="1"/>
  <c r="V68" i="1"/>
  <c r="T68" i="1"/>
  <c r="AE65" i="1" s="1"/>
  <c r="S68" i="1"/>
  <c r="Q68" i="1"/>
  <c r="P68" i="1"/>
  <c r="AB67" i="1" s="1"/>
  <c r="N68" i="1"/>
  <c r="G68" i="1"/>
  <c r="AC67" i="1"/>
  <c r="Z67" i="1"/>
  <c r="Y67" i="1"/>
  <c r="V67" i="1"/>
  <c r="T67" i="1"/>
  <c r="S67" i="1"/>
  <c r="AD66" i="1" s="1"/>
  <c r="Q67" i="1"/>
  <c r="AA67" i="1" s="1"/>
  <c r="P67" i="1"/>
  <c r="N67" i="1"/>
  <c r="G67" i="1"/>
  <c r="AB66" i="1"/>
  <c r="Y66" i="1"/>
  <c r="V66" i="1"/>
  <c r="T66" i="1"/>
  <c r="S66" i="1"/>
  <c r="AE66" i="1" s="1"/>
  <c r="AF66" i="1" s="1"/>
  <c r="Q66" i="1"/>
  <c r="AB65" i="1" s="1"/>
  <c r="AC65" i="1" s="1"/>
  <c r="P66" i="1"/>
  <c r="N66" i="1"/>
  <c r="G66" i="1"/>
  <c r="AA65" i="1"/>
  <c r="Y65" i="1"/>
  <c r="V61" i="1"/>
  <c r="T61" i="1"/>
  <c r="S61" i="1"/>
  <c r="Q61" i="1"/>
  <c r="P61" i="1"/>
  <c r="AA58" i="1" s="1"/>
  <c r="N61" i="1"/>
  <c r="G61" i="1"/>
  <c r="AD60" i="1"/>
  <c r="AA60" i="1"/>
  <c r="Z60" i="1"/>
  <c r="Y60" i="1"/>
  <c r="V60" i="1"/>
  <c r="T60" i="1"/>
  <c r="S60" i="1"/>
  <c r="AE60" i="1" s="1"/>
  <c r="AF60" i="1" s="1"/>
  <c r="Q60" i="1"/>
  <c r="P60" i="1"/>
  <c r="AB60" i="1" s="1"/>
  <c r="AC60" i="1" s="1"/>
  <c r="N60" i="1"/>
  <c r="G60" i="1"/>
  <c r="AA59" i="1"/>
  <c r="Z59" i="1"/>
  <c r="Y59" i="1"/>
  <c r="V59" i="1"/>
  <c r="T59" i="1"/>
  <c r="AE58" i="1" s="1"/>
  <c r="S59" i="1"/>
  <c r="AE59" i="1" s="1"/>
  <c r="Q59" i="1"/>
  <c r="P59" i="1"/>
  <c r="AB59" i="1" s="1"/>
  <c r="AC59" i="1" s="1"/>
  <c r="N59" i="1"/>
  <c r="G59" i="1"/>
  <c r="AC58" i="1"/>
  <c r="AB58" i="1"/>
  <c r="Z58" i="1"/>
  <c r="Y58" i="1"/>
  <c r="V50" i="1"/>
  <c r="T50" i="1"/>
  <c r="S50" i="1"/>
  <c r="Q50" i="1"/>
  <c r="AB47" i="1" s="1"/>
  <c r="P50" i="1"/>
  <c r="AA47" i="1" s="1"/>
  <c r="N50" i="1"/>
  <c r="G50" i="1"/>
  <c r="AE49" i="1"/>
  <c r="AF49" i="1" s="1"/>
  <c r="Y49" i="1"/>
  <c r="V49" i="1"/>
  <c r="T49" i="1"/>
  <c r="AD49" i="1" s="1"/>
  <c r="S49" i="1"/>
  <c r="Q49" i="1"/>
  <c r="Z49" i="1" s="1"/>
  <c r="P49" i="1"/>
  <c r="AB49" i="1" s="1"/>
  <c r="N49" i="1"/>
  <c r="G49" i="1"/>
  <c r="AA48" i="1"/>
  <c r="Y48" i="1"/>
  <c r="V48" i="1"/>
  <c r="T48" i="1"/>
  <c r="AD48" i="1" s="1"/>
  <c r="S48" i="1"/>
  <c r="AE48" i="1" s="1"/>
  <c r="Q48" i="1"/>
  <c r="P48" i="1"/>
  <c r="AB48" i="1" s="1"/>
  <c r="AC48" i="1" s="1"/>
  <c r="N48" i="1"/>
  <c r="G48" i="1"/>
  <c r="AC47" i="1"/>
  <c r="Y47" i="1"/>
  <c r="V43" i="1"/>
  <c r="T43" i="1"/>
  <c r="S43" i="1"/>
  <c r="AE42" i="1" s="1"/>
  <c r="AF42" i="1" s="1"/>
  <c r="Q43" i="1"/>
  <c r="P43" i="1"/>
  <c r="N43" i="1"/>
  <c r="G43" i="1"/>
  <c r="AD42" i="1"/>
  <c r="Y42" i="1"/>
  <c r="V42" i="1"/>
  <c r="T42" i="1"/>
  <c r="S42" i="1"/>
  <c r="Q42" i="1"/>
  <c r="Z41" i="1" s="1"/>
  <c r="P42" i="1"/>
  <c r="AB42" i="1" s="1"/>
  <c r="N42" i="1"/>
  <c r="G42" i="1"/>
  <c r="AA41" i="1"/>
  <c r="Y41" i="1"/>
  <c r="V41" i="1"/>
  <c r="T41" i="1"/>
  <c r="AD41" i="1" s="1"/>
  <c r="S41" i="1"/>
  <c r="AE41" i="1" s="1"/>
  <c r="AF41" i="1" s="1"/>
  <c r="Q41" i="1"/>
  <c r="P41" i="1"/>
  <c r="AB41" i="1" s="1"/>
  <c r="AC41" i="1" s="1"/>
  <c r="N41" i="1"/>
  <c r="G41" i="1"/>
  <c r="AD40" i="1"/>
  <c r="AC40" i="1"/>
  <c r="AB40" i="1"/>
  <c r="AA40" i="1"/>
  <c r="Z40" i="1"/>
  <c r="Y40" i="1"/>
  <c r="V36" i="1"/>
  <c r="T36" i="1"/>
  <c r="S36" i="1"/>
  <c r="AD33" i="1" s="1"/>
  <c r="Q36" i="1"/>
  <c r="AB33" i="1" s="1"/>
  <c r="AC33" i="1" s="1"/>
  <c r="P36" i="1"/>
  <c r="N36" i="1"/>
  <c r="G36" i="1"/>
  <c r="Y35" i="1"/>
  <c r="V35" i="1"/>
  <c r="T35" i="1"/>
  <c r="AD35" i="1" s="1"/>
  <c r="S35" i="1"/>
  <c r="Q35" i="1"/>
  <c r="AA35" i="1" s="1"/>
  <c r="P35" i="1"/>
  <c r="AB35" i="1" s="1"/>
  <c r="N35" i="1"/>
  <c r="G35" i="1"/>
  <c r="AE34" i="1"/>
  <c r="AA34" i="1"/>
  <c r="Y34" i="1"/>
  <c r="V34" i="1"/>
  <c r="T34" i="1"/>
  <c r="AD34" i="1" s="1"/>
  <c r="AF34" i="1" s="1"/>
  <c r="S34" i="1"/>
  <c r="Q34" i="1"/>
  <c r="P34" i="1"/>
  <c r="Z33" i="1" s="1"/>
  <c r="N34" i="1"/>
  <c r="G34" i="1"/>
  <c r="AE33" i="1"/>
  <c r="AF33" i="1" s="1"/>
  <c r="Y33" i="1"/>
  <c r="V25" i="1"/>
  <c r="T25" i="1"/>
  <c r="AE22" i="1" s="1"/>
  <c r="S25" i="1"/>
  <c r="AD22" i="1" s="1"/>
  <c r="Q25" i="1"/>
  <c r="P25" i="1"/>
  <c r="N25" i="1"/>
  <c r="G25" i="1"/>
  <c r="AD24" i="1"/>
  <c r="Z24" i="1"/>
  <c r="Y24" i="1"/>
  <c r="V24" i="1"/>
  <c r="T24" i="1"/>
  <c r="S24" i="1"/>
  <c r="AE24" i="1" s="1"/>
  <c r="AF24" i="1" s="1"/>
  <c r="Q24" i="1"/>
  <c r="AA24" i="1" s="1"/>
  <c r="P24" i="1"/>
  <c r="AB24" i="1" s="1"/>
  <c r="AC24" i="1" s="1"/>
  <c r="N24" i="1"/>
  <c r="G24" i="1"/>
  <c r="AE23" i="1"/>
  <c r="Y23" i="1"/>
  <c r="V23" i="1"/>
  <c r="T23" i="1"/>
  <c r="AD23" i="1" s="1"/>
  <c r="AF23" i="1" s="1"/>
  <c r="S23" i="1"/>
  <c r="Q23" i="1"/>
  <c r="AA23" i="1" s="1"/>
  <c r="P23" i="1"/>
  <c r="AB23" i="1" s="1"/>
  <c r="N23" i="1"/>
  <c r="G23" i="1"/>
  <c r="AA22" i="1"/>
  <c r="Y22" i="1"/>
  <c r="V18" i="1"/>
  <c r="T18" i="1"/>
  <c r="AE15" i="1" s="1"/>
  <c r="S18" i="1"/>
  <c r="Q18" i="1"/>
  <c r="P18" i="1"/>
  <c r="Z17" i="1" s="1"/>
  <c r="N18" i="1"/>
  <c r="G18" i="1"/>
  <c r="AE17" i="1"/>
  <c r="AA17" i="1"/>
  <c r="Y17" i="1"/>
  <c r="V17" i="1"/>
  <c r="T17" i="1"/>
  <c r="AD17" i="1" s="1"/>
  <c r="S17" i="1"/>
  <c r="Q17" i="1"/>
  <c r="P17" i="1"/>
  <c r="N17" i="1"/>
  <c r="G17" i="1"/>
  <c r="AD16" i="1"/>
  <c r="Z16" i="1"/>
  <c r="Y16" i="1"/>
  <c r="V16" i="1"/>
  <c r="T16" i="1"/>
  <c r="S16" i="1"/>
  <c r="AE16" i="1" s="1"/>
  <c r="AF16" i="1" s="1"/>
  <c r="Q16" i="1"/>
  <c r="AA16" i="1" s="1"/>
  <c r="P16" i="1"/>
  <c r="AB16" i="1" s="1"/>
  <c r="AC16" i="1" s="1"/>
  <c r="N16" i="1"/>
  <c r="G16" i="1"/>
  <c r="AC15" i="1"/>
  <c r="AB15" i="1"/>
  <c r="Y15" i="1"/>
  <c r="V11" i="1"/>
  <c r="T11" i="1"/>
  <c r="S11" i="1"/>
  <c r="Q11" i="1"/>
  <c r="AA10" i="1" s="1"/>
  <c r="P11" i="1"/>
  <c r="AA8" i="1" s="1"/>
  <c r="N11" i="1"/>
  <c r="G11" i="1"/>
  <c r="AE10" i="1"/>
  <c r="Y10" i="1"/>
  <c r="V10" i="1"/>
  <c r="T10" i="1"/>
  <c r="AD10" i="1" s="1"/>
  <c r="AF10" i="1" s="1"/>
  <c r="S10" i="1"/>
  <c r="Q10" i="1"/>
  <c r="P10" i="1"/>
  <c r="Z9" i="1" s="1"/>
  <c r="N10" i="1"/>
  <c r="G10" i="1"/>
  <c r="AE9" i="1"/>
  <c r="AF9" i="1" s="1"/>
  <c r="Y9" i="1"/>
  <c r="V9" i="1"/>
  <c r="T9" i="1"/>
  <c r="AD9" i="1" s="1"/>
  <c r="S9" i="1"/>
  <c r="Q9" i="1"/>
  <c r="P9" i="1"/>
  <c r="AB9" i="1" s="1"/>
  <c r="N9" i="1"/>
  <c r="G9" i="1"/>
  <c r="AD8" i="1"/>
  <c r="Z8" i="1"/>
  <c r="Y8" i="1"/>
  <c r="AF17" i="1" l="1"/>
  <c r="AC23" i="1"/>
  <c r="AF48" i="1"/>
  <c r="AC92" i="1"/>
  <c r="AF22" i="1"/>
  <c r="AC35" i="1"/>
  <c r="AF58" i="1"/>
  <c r="AB22" i="1"/>
  <c r="AC22" i="1" s="1"/>
  <c r="AE92" i="1"/>
  <c r="AD91" i="1"/>
  <c r="AF93" i="1"/>
  <c r="Z128" i="1"/>
  <c r="AB129" i="1"/>
  <c r="AD130" i="1"/>
  <c r="AF130" i="1" s="1"/>
  <c r="AE129" i="1"/>
  <c r="AF129" i="1" s="1"/>
  <c r="Y141" i="1"/>
  <c r="N142" i="1"/>
  <c r="AC166" i="1"/>
  <c r="AA173" i="1"/>
  <c r="AC173" i="1" s="1"/>
  <c r="Z173" i="1"/>
  <c r="AB171" i="1"/>
  <c r="AC171" i="1" s="1"/>
  <c r="AE8" i="1"/>
  <c r="AF8" i="1" s="1"/>
  <c r="Z15" i="1"/>
  <c r="AD15" i="1"/>
  <c r="AF15" i="1" s="1"/>
  <c r="AB17" i="1"/>
  <c r="AC17" i="1" s="1"/>
  <c r="Z23" i="1"/>
  <c r="Z35" i="1"/>
  <c r="AE40" i="1"/>
  <c r="AF40" i="1" s="1"/>
  <c r="Z42" i="1"/>
  <c r="AA42" i="1"/>
  <c r="AC42" i="1" s="1"/>
  <c r="AD47" i="1"/>
  <c r="AA49" i="1"/>
  <c r="AC49" i="1" s="1"/>
  <c r="AD58" i="1"/>
  <c r="AD67" i="1"/>
  <c r="AE72" i="1"/>
  <c r="AF72" i="1" s="1"/>
  <c r="Z73" i="1"/>
  <c r="AA74" i="1"/>
  <c r="AC74" i="1" s="1"/>
  <c r="Z74" i="1"/>
  <c r="Z84" i="1"/>
  <c r="AF85" i="1"/>
  <c r="AE91" i="1"/>
  <c r="AB93" i="1"/>
  <c r="AC93" i="1" s="1"/>
  <c r="AA91" i="1"/>
  <c r="AA102" i="1"/>
  <c r="Z114" i="1"/>
  <c r="AB115" i="1"/>
  <c r="V115" i="1"/>
  <c r="AB155" i="1"/>
  <c r="AC155" i="1" s="1"/>
  <c r="AC212" i="1"/>
  <c r="AA9" i="1"/>
  <c r="AC9" i="1" s="1"/>
  <c r="Y130" i="1"/>
  <c r="N131" i="1"/>
  <c r="AD141" i="1"/>
  <c r="AE140" i="1"/>
  <c r="AF140" i="1" s="1"/>
  <c r="N154" i="1"/>
  <c r="G155" i="1"/>
  <c r="Y154" i="1"/>
  <c r="V156" i="1"/>
  <c r="AB8" i="1"/>
  <c r="AC8" i="1" s="1"/>
  <c r="Z10" i="1"/>
  <c r="AA15" i="1"/>
  <c r="Z22" i="1"/>
  <c r="Z34" i="1"/>
  <c r="AE35" i="1"/>
  <c r="AF35" i="1" s="1"/>
  <c r="Z47" i="1"/>
  <c r="AE47" i="1"/>
  <c r="AF47" i="1" s="1"/>
  <c r="AD59" i="1"/>
  <c r="AF59" i="1" s="1"/>
  <c r="Z65" i="1"/>
  <c r="AE67" i="1"/>
  <c r="Z72" i="1"/>
  <c r="AA73" i="1"/>
  <c r="AC73" i="1" s="1"/>
  <c r="Z83" i="1"/>
  <c r="AF83" i="1"/>
  <c r="AA84" i="1"/>
  <c r="AC84" i="1" s="1"/>
  <c r="Z85" i="1"/>
  <c r="AD92" i="1"/>
  <c r="AD101" i="1"/>
  <c r="AF101" i="1" s="1"/>
  <c r="AD104" i="1"/>
  <c r="AF104" i="1" s="1"/>
  <c r="AE103" i="1"/>
  <c r="AF103" i="1" s="1"/>
  <c r="Z115" i="1"/>
  <c r="AA115" i="1"/>
  <c r="N116" i="1"/>
  <c r="AF116" i="1"/>
  <c r="AC123" i="1"/>
  <c r="AA128" i="1"/>
  <c r="AC130" i="1"/>
  <c r="N167" i="1"/>
  <c r="N166" i="1"/>
  <c r="Y166" i="1"/>
  <c r="V165" i="1"/>
  <c r="AB10" i="1"/>
  <c r="AC10" i="1" s="1"/>
  <c r="AA33" i="1"/>
  <c r="AB34" i="1"/>
  <c r="AC34" i="1" s="1"/>
  <c r="AB102" i="1"/>
  <c r="AC102" i="1" s="1"/>
  <c r="Z101" i="1"/>
  <c r="Z121" i="1"/>
  <c r="AB122" i="1"/>
  <c r="Y123" i="1"/>
  <c r="N124" i="1"/>
  <c r="V129" i="1"/>
  <c r="N130" i="1"/>
  <c r="Z139" i="1"/>
  <c r="AB140" i="1"/>
  <c r="AC140" i="1" s="1"/>
  <c r="V140" i="1"/>
  <c r="N141" i="1"/>
  <c r="Z48" i="1"/>
  <c r="AA66" i="1"/>
  <c r="AC66" i="1" s="1"/>
  <c r="Z66" i="1"/>
  <c r="AA72" i="1"/>
  <c r="AA85" i="1"/>
  <c r="AC85" i="1" s="1"/>
  <c r="AA92" i="1"/>
  <c r="Z91" i="1"/>
  <c r="AA101" i="1"/>
  <c r="AB104" i="1"/>
  <c r="AC104" i="1" s="1"/>
  <c r="AA103" i="1"/>
  <c r="AC103" i="1" s="1"/>
  <c r="AF141" i="1"/>
  <c r="Z146" i="1"/>
  <c r="AB147" i="1"/>
  <c r="N165" i="1"/>
  <c r="G166" i="1"/>
  <c r="Y165" i="1"/>
  <c r="V167" i="1"/>
  <c r="V184" i="1"/>
  <c r="G185" i="1"/>
  <c r="G183" i="1"/>
  <c r="Y182" i="1"/>
  <c r="V197" i="1"/>
  <c r="N199" i="1"/>
  <c r="N198" i="1"/>
  <c r="Y198" i="1"/>
  <c r="G282" i="1"/>
  <c r="H389" i="1" s="1"/>
  <c r="H416" i="1"/>
  <c r="H412" i="1"/>
  <c r="G377" i="1"/>
  <c r="N375" i="1"/>
  <c r="U375" i="1" s="1"/>
  <c r="H415" i="1"/>
  <c r="V377" i="1"/>
  <c r="N359" i="1"/>
  <c r="H414" i="1"/>
  <c r="V375" i="1"/>
  <c r="V373" i="1"/>
  <c r="N361" i="1"/>
  <c r="N369" i="1"/>
  <c r="N377" i="1"/>
  <c r="N367" i="1"/>
  <c r="U367" i="1" s="1"/>
  <c r="N373" i="1"/>
  <c r="B377" i="1" s="1"/>
  <c r="Z122" i="1"/>
  <c r="AD123" i="1"/>
  <c r="AF123" i="1" s="1"/>
  <c r="Z129" i="1"/>
  <c r="Z140" i="1"/>
  <c r="AA147" i="1"/>
  <c r="Z147" i="1"/>
  <c r="N149" i="1"/>
  <c r="N148" i="1"/>
  <c r="G156" i="1"/>
  <c r="G154" i="1"/>
  <c r="V155" i="1"/>
  <c r="V183" i="1"/>
  <c r="N185" i="1"/>
  <c r="N184" i="1"/>
  <c r="Y184" i="1"/>
  <c r="V199" i="1"/>
  <c r="N197" i="1"/>
  <c r="G198" i="1"/>
  <c r="G241" i="1"/>
  <c r="G237" i="1"/>
  <c r="B272" i="1" s="1"/>
  <c r="N241" i="1"/>
  <c r="B270" i="1" s="1"/>
  <c r="N237" i="1"/>
  <c r="G309" i="1"/>
  <c r="H401" i="1" s="1"/>
  <c r="AE102" i="1"/>
  <c r="AF102" i="1" s="1"/>
  <c r="Z104" i="1"/>
  <c r="G117" i="1"/>
  <c r="G115" i="1"/>
  <c r="G124" i="1"/>
  <c r="G122" i="1"/>
  <c r="AA122" i="1"/>
  <c r="G131" i="1"/>
  <c r="G129" i="1"/>
  <c r="AA129" i="1"/>
  <c r="Z130" i="1"/>
  <c r="G142" i="1"/>
  <c r="G140" i="1"/>
  <c r="AA140" i="1"/>
  <c r="Z141" i="1"/>
  <c r="G149" i="1"/>
  <c r="G147" i="1"/>
  <c r="V149" i="1"/>
  <c r="AA153" i="1"/>
  <c r="AC153" i="1" s="1"/>
  <c r="Z153" i="1"/>
  <c r="V154" i="1"/>
  <c r="AA155" i="1"/>
  <c r="Z155" i="1"/>
  <c r="G167" i="1"/>
  <c r="V166" i="1"/>
  <c r="V173" i="1"/>
  <c r="G174" i="1"/>
  <c r="G172" i="1"/>
  <c r="Y171" i="1"/>
  <c r="V185" i="1"/>
  <c r="N183" i="1"/>
  <c r="G184" i="1"/>
  <c r="Y183" i="1"/>
  <c r="AB190" i="1"/>
  <c r="V198" i="1"/>
  <c r="G199" i="1"/>
  <c r="G197" i="1"/>
  <c r="AA210" i="1"/>
  <c r="AC210" i="1" s="1"/>
  <c r="G250" i="1"/>
  <c r="N250" i="1"/>
  <c r="U250" i="1" s="1"/>
  <c r="N249" i="1"/>
  <c r="H395" i="1"/>
  <c r="AD65" i="1"/>
  <c r="AF65" i="1" s="1"/>
  <c r="Y114" i="1"/>
  <c r="Z116" i="1"/>
  <c r="Y121" i="1"/>
  <c r="Z123" i="1"/>
  <c r="Y128" i="1"/>
  <c r="AA130" i="1"/>
  <c r="Y139" i="1"/>
  <c r="AA141" i="1"/>
  <c r="AC141" i="1" s="1"/>
  <c r="Y146" i="1"/>
  <c r="N147" i="1"/>
  <c r="V148" i="1"/>
  <c r="AA148" i="1"/>
  <c r="AC148" i="1" s="1"/>
  <c r="Z148" i="1"/>
  <c r="Y153" i="1"/>
  <c r="AA154" i="1"/>
  <c r="AC154" i="1" s="1"/>
  <c r="Z154" i="1"/>
  <c r="N156" i="1"/>
  <c r="N155" i="1"/>
  <c r="AA171" i="1"/>
  <c r="Z171" i="1"/>
  <c r="AB172" i="1"/>
  <c r="AB189" i="1"/>
  <c r="AA190" i="1"/>
  <c r="Z190" i="1"/>
  <c r="Z189" i="1"/>
  <c r="AA191" i="1"/>
  <c r="Z191" i="1"/>
  <c r="AC197" i="1"/>
  <c r="Y197" i="1"/>
  <c r="AE210" i="1"/>
  <c r="AF210" i="1" s="1"/>
  <c r="H380" i="1"/>
  <c r="H381" i="1"/>
  <c r="H392" i="1"/>
  <c r="H411" i="1"/>
  <c r="Z164" i="1"/>
  <c r="AA164" i="1"/>
  <c r="AC164" i="1" s="1"/>
  <c r="AA172" i="1"/>
  <c r="Z172" i="1"/>
  <c r="AB183" i="1"/>
  <c r="AB196" i="1"/>
  <c r="AC196" i="1" s="1"/>
  <c r="AA197" i="1"/>
  <c r="Z197" i="1"/>
  <c r="Z196" i="1"/>
  <c r="AA198" i="1"/>
  <c r="AC198" i="1" s="1"/>
  <c r="Z198" i="1"/>
  <c r="G247" i="1"/>
  <c r="N247" i="1"/>
  <c r="N245" i="1"/>
  <c r="G306" i="1"/>
  <c r="N309" i="1" s="1"/>
  <c r="H400" i="1" s="1"/>
  <c r="N306" i="1"/>
  <c r="N311" i="1" s="1"/>
  <c r="H402" i="1" s="1"/>
  <c r="N331" i="1"/>
  <c r="U331" i="1" s="1"/>
  <c r="N329" i="1"/>
  <c r="G342" i="1"/>
  <c r="H409" i="1" s="1"/>
  <c r="AA166" i="1"/>
  <c r="Z166" i="1"/>
  <c r="V174" i="1"/>
  <c r="N172" i="1"/>
  <c r="G173" i="1"/>
  <c r="N174" i="1"/>
  <c r="N173" i="1"/>
  <c r="AB182" i="1"/>
  <c r="AC182" i="1" s="1"/>
  <c r="AA183" i="1"/>
  <c r="Z183" i="1"/>
  <c r="AA184" i="1"/>
  <c r="Z184" i="1"/>
  <c r="V191" i="1"/>
  <c r="G192" i="1"/>
  <c r="G190" i="1"/>
  <c r="V192" i="1"/>
  <c r="N190" i="1"/>
  <c r="G191" i="1"/>
  <c r="V190" i="1"/>
  <c r="N192" i="1"/>
  <c r="N191" i="1"/>
  <c r="AB213" i="1"/>
  <c r="AC209" i="1"/>
  <c r="AE211" i="1"/>
  <c r="AD212" i="1"/>
  <c r="AF212" i="1" s="1"/>
  <c r="N239" i="1"/>
  <c r="H387" i="1"/>
  <c r="H386" i="1"/>
  <c r="G268" i="1"/>
  <c r="G280" i="1" s="1"/>
  <c r="H390" i="1" s="1"/>
  <c r="N268" i="1"/>
  <c r="G277" i="1"/>
  <c r="H394" i="1" s="1"/>
  <c r="H407" i="1"/>
  <c r="H404" i="1"/>
  <c r="Z182" i="1"/>
  <c r="Z212" i="1"/>
  <c r="N215" i="1"/>
  <c r="N235" i="1"/>
  <c r="G270" i="1"/>
  <c r="N280" i="1" s="1"/>
  <c r="H391" i="1" s="1"/>
  <c r="N272" i="1"/>
  <c r="N278" i="1"/>
  <c r="N282" i="1"/>
  <c r="U282" i="1" s="1"/>
  <c r="G302" i="1"/>
  <c r="N315" i="1" s="1"/>
  <c r="G311" i="1"/>
  <c r="H403" i="1" s="1"/>
  <c r="G315" i="1"/>
  <c r="H397" i="1" s="1"/>
  <c r="G340" i="1"/>
  <c r="G359" i="1"/>
  <c r="G365" i="1"/>
  <c r="G373" i="1" s="1"/>
  <c r="H382" i="1"/>
  <c r="H398" i="1"/>
  <c r="H406" i="1"/>
  <c r="H410" i="1"/>
  <c r="AA182" i="1"/>
  <c r="AA189" i="1"/>
  <c r="AA196" i="1"/>
  <c r="Z209" i="1"/>
  <c r="Y210" i="1"/>
  <c r="Z211" i="1"/>
  <c r="AD211" i="1"/>
  <c r="AD213" i="1" s="1"/>
  <c r="G212" i="1"/>
  <c r="N302" i="1"/>
  <c r="N313" i="1" s="1"/>
  <c r="H399" i="1" s="1"/>
  <c r="G357" i="1"/>
  <c r="AE209" i="1"/>
  <c r="AA211" i="1"/>
  <c r="AC211" i="1" s="1"/>
  <c r="G300" i="1"/>
  <c r="G367" i="1"/>
  <c r="G375" i="1" s="1"/>
  <c r="H413" i="1" s="1"/>
  <c r="U315" i="1" l="1"/>
  <c r="H396" i="1"/>
  <c r="AE213" i="1"/>
  <c r="AF209" i="1"/>
  <c r="AF211" i="1"/>
  <c r="H388" i="1"/>
  <c r="AC183" i="1"/>
  <c r="AC190" i="1"/>
  <c r="U361" i="1"/>
  <c r="B357" i="1"/>
  <c r="AF67" i="1"/>
  <c r="AF91" i="1"/>
  <c r="AC129" i="1"/>
  <c r="AF92" i="1"/>
  <c r="AA213" i="1"/>
  <c r="AC189" i="1"/>
  <c r="B373" i="1"/>
  <c r="U377" i="1"/>
  <c r="AC147" i="1"/>
  <c r="AC122" i="1"/>
  <c r="B277" i="1"/>
  <c r="H393" i="1"/>
  <c r="B274" i="1"/>
  <c r="G249" i="1"/>
  <c r="H405" i="1"/>
  <c r="AC172" i="1"/>
  <c r="U369" i="1"/>
  <c r="B365" i="1"/>
  <c r="AC115" i="1"/>
</calcChain>
</file>

<file path=xl/sharedStrings.xml><?xml version="1.0" encoding="utf-8"?>
<sst xmlns="http://schemas.openxmlformats.org/spreadsheetml/2006/main" count="850" uniqueCount="217">
  <si>
    <t>TOURNOI BENJAMINES ENSISHEIM 2018</t>
  </si>
  <si>
    <t>PHASE QUALIFICATIVE</t>
  </si>
  <si>
    <t>SAMEDI 24 FEVRIER</t>
  </si>
  <si>
    <t xml:space="preserve">  POULE A</t>
  </si>
  <si>
    <t>HORAIRE</t>
  </si>
  <si>
    <t>TERRAIN 1 UNGERSHEIM</t>
  </si>
  <si>
    <t>TOTAUX SETS</t>
  </si>
  <si>
    <t>TOTAUX POINTS</t>
  </si>
  <si>
    <t>Arbitre</t>
  </si>
  <si>
    <t>points</t>
  </si>
  <si>
    <t>sets pour</t>
  </si>
  <si>
    <t>sets contre</t>
  </si>
  <si>
    <t>ratio sets</t>
  </si>
  <si>
    <t>points pour</t>
  </si>
  <si>
    <t>points contre</t>
  </si>
  <si>
    <t>ratio points</t>
  </si>
  <si>
    <t>POULE A</t>
  </si>
  <si>
    <t>SET1</t>
  </si>
  <si>
    <t>SET2</t>
  </si>
  <si>
    <t>SET 3</t>
  </si>
  <si>
    <t>CANNES</t>
  </si>
  <si>
    <t>9H30</t>
  </si>
  <si>
    <t>ZANHOVEN 2</t>
  </si>
  <si>
    <t>10H30</t>
  </si>
  <si>
    <t>NÜZIDERS</t>
  </si>
  <si>
    <t>11H30</t>
  </si>
  <si>
    <t xml:space="preserve">  POULE B</t>
  </si>
  <si>
    <t>TERRAIN 2 UNGERSHEIM</t>
  </si>
  <si>
    <t>POULE B</t>
  </si>
  <si>
    <t>YUTZ 1</t>
  </si>
  <si>
    <t>CD 68-4</t>
  </si>
  <si>
    <t>LA LOUVIERE</t>
  </si>
  <si>
    <t>12H30</t>
  </si>
  <si>
    <t xml:space="preserve">  POULE C</t>
  </si>
  <si>
    <t>TERRAIN 3 UNGERSHEIM</t>
  </si>
  <si>
    <t>POULE C</t>
  </si>
  <si>
    <t>VILLEJUIF</t>
  </si>
  <si>
    <t>BIRKACH</t>
  </si>
  <si>
    <t>CD 68-3</t>
  </si>
  <si>
    <t xml:space="preserve">  POULE D</t>
  </si>
  <si>
    <t>TERRAIN 1 DUOPOLE</t>
  </si>
  <si>
    <t>POULE D</t>
  </si>
  <si>
    <t>HARNES</t>
  </si>
  <si>
    <t>HÖCHST 2</t>
  </si>
  <si>
    <t>WEISSWASSER</t>
  </si>
  <si>
    <t xml:space="preserve">  POULE E</t>
  </si>
  <si>
    <t>TERRAIN 2 DUOPOLE</t>
  </si>
  <si>
    <t>POULE E</t>
  </si>
  <si>
    <t>ENSISHEIM</t>
  </si>
  <si>
    <t>CD 21</t>
  </si>
  <si>
    <t>AACHEN</t>
  </si>
  <si>
    <t xml:space="preserve">  POULE F</t>
  </si>
  <si>
    <t>TERRAIN 3 DUOPOLE</t>
  </si>
  <si>
    <t>POULE F</t>
  </si>
  <si>
    <t>ZANDHOVEN 1</t>
  </si>
  <si>
    <t>YUTZ 2</t>
  </si>
  <si>
    <t>BELFORT</t>
  </si>
  <si>
    <t xml:space="preserve">  POULE G</t>
  </si>
  <si>
    <t>TERRAIN 1 GYMNASE</t>
  </si>
  <si>
    <t>POULE G</t>
  </si>
  <si>
    <t>CD 68-1</t>
  </si>
  <si>
    <t>DORNBIRN 2</t>
  </si>
  <si>
    <t>LE TOUQUET</t>
  </si>
  <si>
    <t xml:space="preserve">  POULE H</t>
  </si>
  <si>
    <t>TERRAIN 2 GYMNASE</t>
  </si>
  <si>
    <t>POULE H</t>
  </si>
  <si>
    <t>HÖCHST 1</t>
  </si>
  <si>
    <t>THIMISTER 3</t>
  </si>
  <si>
    <t>AUBAGNE</t>
  </si>
  <si>
    <t xml:space="preserve">  POULE I</t>
  </si>
  <si>
    <t>TERRAIN 3 GYMNASE</t>
  </si>
  <si>
    <t>POULE I</t>
  </si>
  <si>
    <t>CD 68-2</t>
  </si>
  <si>
    <t>MAIZIERES LES METZ</t>
  </si>
  <si>
    <t>UNION DU CENTRE 2</t>
  </si>
  <si>
    <t xml:space="preserve">  POULE J</t>
  </si>
  <si>
    <t>TERRAIN 1 PULVERHEIM</t>
  </si>
  <si>
    <t>POULE J</t>
  </si>
  <si>
    <t>THIMISTER 1</t>
  </si>
  <si>
    <t>CD 71-1</t>
  </si>
  <si>
    <t>TERRAIN 3 PULVERSHEIM</t>
  </si>
  <si>
    <t>KINGERSHEIM 1</t>
  </si>
  <si>
    <t xml:space="preserve">  POULE K</t>
  </si>
  <si>
    <t>TERRAIN 2 PULVERSHEIM</t>
  </si>
  <si>
    <t>POULE K</t>
  </si>
  <si>
    <t>DORNBIRN 1</t>
  </si>
  <si>
    <t>THIMISTER 2</t>
  </si>
  <si>
    <t>TERRAIN 4 PULVERSHEIM</t>
  </si>
  <si>
    <t>RIXHEIM</t>
  </si>
  <si>
    <t xml:space="preserve">  POULE L</t>
  </si>
  <si>
    <t>TERRAIN 1 PULVERSHEIM</t>
  </si>
  <si>
    <t>POULE L</t>
  </si>
  <si>
    <t>Organisation</t>
  </si>
  <si>
    <t>UNION DU CENTRE 1</t>
  </si>
  <si>
    <t>CD 67</t>
  </si>
  <si>
    <t>KINGERSHEIM 2</t>
  </si>
  <si>
    <t>CD 71-2</t>
  </si>
  <si>
    <t>PHASE 2 (places 1 à 24)</t>
  </si>
  <si>
    <t xml:space="preserve">  POULE M</t>
  </si>
  <si>
    <t>POULE M</t>
  </si>
  <si>
    <t>14H30</t>
  </si>
  <si>
    <t>15H30</t>
  </si>
  <si>
    <t>16H30</t>
  </si>
  <si>
    <t xml:space="preserve">  POULE N</t>
  </si>
  <si>
    <t>POULE N</t>
  </si>
  <si>
    <t xml:space="preserve">  POULE O</t>
  </si>
  <si>
    <t>POULE O</t>
  </si>
  <si>
    <t xml:space="preserve">  POULE P</t>
  </si>
  <si>
    <t>POULE P</t>
  </si>
  <si>
    <t xml:space="preserve">  POULE Q</t>
  </si>
  <si>
    <t>POULE Q</t>
  </si>
  <si>
    <t xml:space="preserve">  POULE R</t>
  </si>
  <si>
    <t>POULE R</t>
  </si>
  <si>
    <t xml:space="preserve">  POULE S</t>
  </si>
  <si>
    <t>POULE S</t>
  </si>
  <si>
    <t xml:space="preserve">  POULE T</t>
  </si>
  <si>
    <t>POULE T</t>
  </si>
  <si>
    <t>PHASE 2 (places 25 à 32)</t>
  </si>
  <si>
    <t xml:space="preserve">  POULE U</t>
  </si>
  <si>
    <t>POULE U</t>
  </si>
  <si>
    <t>17H30</t>
  </si>
  <si>
    <t xml:space="preserve">  POULE V</t>
  </si>
  <si>
    <t>POULE V</t>
  </si>
  <si>
    <t xml:space="preserve">  POULE W</t>
  </si>
  <si>
    <t>POULE W</t>
  </si>
  <si>
    <t>SAMEDI 24 FEVRIER - DIMANCHE 25 FEVRIER</t>
  </si>
  <si>
    <t xml:space="preserve">  POULE X</t>
  </si>
  <si>
    <t>POULE X</t>
  </si>
  <si>
    <t>DIMANCHE 25 FEVRIER</t>
  </si>
  <si>
    <t>8H00</t>
  </si>
  <si>
    <t>CLASSEMENTS (places 1 à 8)</t>
  </si>
  <si>
    <t>QUARTS DE FINALE</t>
  </si>
  <si>
    <t>Arbitrage</t>
  </si>
  <si>
    <t>N° Match</t>
  </si>
  <si>
    <t>CRA</t>
  </si>
  <si>
    <t>9H00</t>
  </si>
  <si>
    <t>H1</t>
  </si>
  <si>
    <t>H3</t>
  </si>
  <si>
    <t>H2</t>
  </si>
  <si>
    <t>H4</t>
  </si>
  <si>
    <t>DEMI-FINALES</t>
  </si>
  <si>
    <t>11H00</t>
  </si>
  <si>
    <t>H7</t>
  </si>
  <si>
    <t>H8</t>
  </si>
  <si>
    <t>H5</t>
  </si>
  <si>
    <t>H6</t>
  </si>
  <si>
    <t>PAUSE REPAS</t>
  </si>
  <si>
    <t>FINALES ET CLASSEMENT</t>
  </si>
  <si>
    <t>14H00</t>
  </si>
  <si>
    <t>Place 5-6</t>
  </si>
  <si>
    <t>Place 7-8</t>
  </si>
  <si>
    <t>Place 3-4</t>
  </si>
  <si>
    <t>15H00</t>
  </si>
  <si>
    <t>Finale</t>
  </si>
  <si>
    <t>CLASSEMENTS (places 9 à 16)</t>
  </si>
  <si>
    <t>H11</t>
  </si>
  <si>
    <t>H13</t>
  </si>
  <si>
    <t>H12</t>
  </si>
  <si>
    <t>H14</t>
  </si>
  <si>
    <t>10H00</t>
  </si>
  <si>
    <t>H17</t>
  </si>
  <si>
    <t>H18</t>
  </si>
  <si>
    <t>H15</t>
  </si>
  <si>
    <t>H16</t>
  </si>
  <si>
    <t>Places 15-16</t>
  </si>
  <si>
    <t>Perdant places 15-16</t>
  </si>
  <si>
    <t>12H00</t>
  </si>
  <si>
    <t>Places 13-14</t>
  </si>
  <si>
    <t>Places 11-12</t>
  </si>
  <si>
    <t>Gagnant Places 15-16</t>
  </si>
  <si>
    <t>12 H00</t>
  </si>
  <si>
    <t>Places 9-10</t>
  </si>
  <si>
    <t>CLASSEMENTS (places 17 à 24)</t>
  </si>
  <si>
    <t>H21</t>
  </si>
  <si>
    <t>H23</t>
  </si>
  <si>
    <t>H22</t>
  </si>
  <si>
    <t>H24</t>
  </si>
  <si>
    <t>perdant 1/4 G</t>
  </si>
  <si>
    <t>H27</t>
  </si>
  <si>
    <t>Perdant 1/4 G</t>
  </si>
  <si>
    <t>H28</t>
  </si>
  <si>
    <t>H25</t>
  </si>
  <si>
    <t>H26</t>
  </si>
  <si>
    <t>Places 21-22</t>
  </si>
  <si>
    <t>Places 23-24</t>
  </si>
  <si>
    <t>Places 19-20</t>
  </si>
  <si>
    <t>Places 17-18</t>
  </si>
  <si>
    <t>CLASSEMENTS (places 25 à 32)</t>
  </si>
  <si>
    <t>DEMI-FINALES 25 à 28</t>
  </si>
  <si>
    <t>B1</t>
  </si>
  <si>
    <t>B2</t>
  </si>
  <si>
    <t>FINALES ET CLASSEMENT 25 à 28</t>
  </si>
  <si>
    <t>Places 27-28</t>
  </si>
  <si>
    <t>Places 25-26</t>
  </si>
  <si>
    <t>DEMI-FINALES 29 à 32</t>
  </si>
  <si>
    <t>B3</t>
  </si>
  <si>
    <t>B4</t>
  </si>
  <si>
    <t>FINALES ET CLASSEMENT 29 à 32</t>
  </si>
  <si>
    <t>Places 31-32</t>
  </si>
  <si>
    <t>Places 29-30</t>
  </si>
  <si>
    <t>CLASSEMENTS (places 33 à 37)</t>
  </si>
  <si>
    <t>DEMI-FINALES 33 à 37</t>
  </si>
  <si>
    <t>B5</t>
  </si>
  <si>
    <t>B6</t>
  </si>
  <si>
    <t>FINALES ET CLASSEMENT 33 à 37</t>
  </si>
  <si>
    <t xml:space="preserve">si </t>
  </si>
  <si>
    <t>gagne le match B6</t>
  </si>
  <si>
    <t>11 H00</t>
  </si>
  <si>
    <t>Places 33-35</t>
  </si>
  <si>
    <t>Places 36-37</t>
  </si>
  <si>
    <t>13 H30</t>
  </si>
  <si>
    <t>Nota : le classement 33 à 35 se fait en tenant compte du match entre le 3ème et le 4ème de la poule X</t>
  </si>
  <si>
    <t>perd le match B6</t>
  </si>
  <si>
    <t>Places 35-37</t>
  </si>
  <si>
    <t>Places 33-34</t>
  </si>
  <si>
    <t>Nota : le classement 35 à 37 se fait en tenant compte du match entre le 3ème et le 4ème de la poule X</t>
  </si>
  <si>
    <t>CLASSEMENT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</si>
</sst>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Berlin Sans FB"/>
      <family val="2"/>
    </font>
    <font>
      <sz val="18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Berlin Sans FB"/>
      <family val="2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64" fontId="0" fillId="0" borderId="0" xfId="0" applyNumberFormat="1"/>
    <xf numFmtId="0" fontId="2" fillId="4" borderId="2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7" borderId="35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164" fontId="0" fillId="0" borderId="0" xfId="0" applyNumberFormat="1" applyFill="1" applyBorder="1"/>
    <xf numFmtId="0" fontId="8" fillId="13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0" xfId="0" applyFill="1"/>
    <xf numFmtId="0" fontId="0" fillId="0" borderId="36" xfId="0" applyBorder="1" applyAlignment="1">
      <alignment horizontal="center"/>
    </xf>
    <xf numFmtId="0" fontId="2" fillId="4" borderId="37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2" borderId="35" xfId="0" applyFont="1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0" xfId="0" applyFill="1"/>
    <xf numFmtId="0" fontId="6" fillId="4" borderId="1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7" fillId="14" borderId="47" xfId="0" applyFont="1" applyFill="1" applyBorder="1" applyAlignment="1">
      <alignment horizontal="center" vertical="center"/>
    </xf>
    <xf numFmtId="16" fontId="2" fillId="8" borderId="25" xfId="0" applyNumberFormat="1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0" fillId="14" borderId="50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vertical="center"/>
    </xf>
    <xf numFmtId="0" fontId="0" fillId="4" borderId="48" xfId="0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0" fontId="0" fillId="14" borderId="26" xfId="0" applyFont="1" applyFill="1" applyBorder="1" applyAlignment="1">
      <alignment horizontal="center" vertical="center"/>
    </xf>
    <xf numFmtId="0" fontId="8" fillId="13" borderId="35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14" borderId="35" xfId="0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11" fillId="7" borderId="54" xfId="0" applyFont="1" applyFill="1" applyBorder="1" applyAlignment="1">
      <alignment horizontal="center"/>
    </xf>
    <xf numFmtId="0" fontId="0" fillId="0" borderId="26" xfId="0" applyFont="1" applyFill="1" applyBorder="1"/>
    <xf numFmtId="0" fontId="2" fillId="5" borderId="3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8" fillId="14" borderId="28" xfId="0" applyFont="1" applyFill="1" applyBorder="1" applyAlignment="1">
      <alignment horizontal="center" vertical="center"/>
    </xf>
    <xf numFmtId="0" fontId="0" fillId="14" borderId="28" xfId="0" applyFill="1" applyBorder="1" applyAlignment="1">
      <alignment horizontal="center" vertical="center"/>
    </xf>
    <xf numFmtId="0" fontId="0" fillId="14" borderId="30" xfId="0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14" borderId="26" xfId="0" applyFont="1" applyFill="1" applyBorder="1" applyAlignment="1">
      <alignment horizontal="center"/>
    </xf>
    <xf numFmtId="0" fontId="8" fillId="14" borderId="48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0" fillId="5" borderId="59" xfId="0" applyFill="1" applyBorder="1"/>
    <xf numFmtId="0" fontId="0" fillId="0" borderId="54" xfId="0" applyBorder="1" applyAlignment="1">
      <alignment horizontal="center"/>
    </xf>
    <xf numFmtId="0" fontId="8" fillId="11" borderId="48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4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0" fillId="14" borderId="31" xfId="0" applyFill="1" applyBorder="1" applyAlignment="1">
      <alignment horizontal="center"/>
    </xf>
    <xf numFmtId="0" fontId="0" fillId="13" borderId="53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8" fillId="14" borderId="62" xfId="0" applyFont="1" applyFill="1" applyBorder="1" applyAlignment="1">
      <alignment horizontal="center" vertical="center"/>
    </xf>
    <xf numFmtId="0" fontId="0" fillId="14" borderId="63" xfId="0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 vertical="center"/>
    </xf>
    <xf numFmtId="0" fontId="7" fillId="14" borderId="36" xfId="0" applyFont="1" applyFill="1" applyBorder="1" applyAlignment="1">
      <alignment horizontal="center" vertical="center"/>
    </xf>
    <xf numFmtId="0" fontId="0" fillId="0" borderId="54" xfId="0" applyFont="1" applyFill="1" applyBorder="1"/>
    <xf numFmtId="0" fontId="0" fillId="0" borderId="24" xfId="0" applyFont="1" applyFill="1" applyBorder="1" applyAlignment="1">
      <alignment horizontal="center" vertical="center"/>
    </xf>
    <xf numFmtId="0" fontId="0" fillId="0" borderId="36" xfId="0" applyBorder="1"/>
    <xf numFmtId="0" fontId="0" fillId="0" borderId="4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14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6" borderId="5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/>
    <xf numFmtId="0" fontId="0" fillId="0" borderId="5" xfId="0" applyBorder="1"/>
    <xf numFmtId="0" fontId="0" fillId="13" borderId="49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right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2" xfId="0" applyFill="1" applyBorder="1"/>
    <xf numFmtId="0" fontId="0" fillId="0" borderId="2" xfId="0" applyBorder="1"/>
    <xf numFmtId="0" fontId="0" fillId="0" borderId="3" xfId="0" applyBorder="1"/>
    <xf numFmtId="0" fontId="0" fillId="13" borderId="21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12" borderId="66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0" xfId="0" applyFill="1" applyBorder="1"/>
    <xf numFmtId="0" fontId="0" fillId="14" borderId="54" xfId="0" applyFont="1" applyFill="1" applyBorder="1" applyAlignment="1">
      <alignment horizontal="center"/>
    </xf>
    <xf numFmtId="0" fontId="8" fillId="11" borderId="60" xfId="0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0" borderId="2" xfId="0" applyFill="1" applyBorder="1"/>
    <xf numFmtId="0" fontId="2" fillId="0" borderId="2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0" fillId="0" borderId="36" xfId="0" applyFill="1" applyBorder="1"/>
    <xf numFmtId="0" fontId="12" fillId="0" borderId="16" xfId="0" applyFont="1" applyBorder="1"/>
    <xf numFmtId="0" fontId="13" fillId="0" borderId="16" xfId="0" applyFont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9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x%20filles%20tournoi%202018%20version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équipes 1ère phase"/>
      <sheetName val="Planning équipes 2ème phase"/>
      <sheetName val="Rendez vous dimanche"/>
      <sheetName val="Planning arbitrage"/>
      <sheetName val="planning"/>
      <sheetName val="classement poule 1ère phase"/>
      <sheetName val="classement poule 2ème phase"/>
      <sheetName val="classement 33 37"/>
      <sheetName val="match 101"/>
      <sheetName val="match 102"/>
      <sheetName val="match 103"/>
      <sheetName val="match 104"/>
      <sheetName val="match 105"/>
      <sheetName val="match 106"/>
      <sheetName val="match 107"/>
      <sheetName val="match 108"/>
      <sheetName val="match 109"/>
      <sheetName val="match 110"/>
      <sheetName val="match 111"/>
      <sheetName val="match 112"/>
      <sheetName val="match 113"/>
      <sheetName val="match 114"/>
      <sheetName val="match 115"/>
      <sheetName val="match 116"/>
      <sheetName val="match 117"/>
      <sheetName val="match 118"/>
      <sheetName val="match 119"/>
      <sheetName val="match 120"/>
      <sheetName val="match 201"/>
      <sheetName val="match 202"/>
      <sheetName val="match 203"/>
      <sheetName val="match 204"/>
      <sheetName val="match 205"/>
      <sheetName val="match 206"/>
      <sheetName val="match 207"/>
      <sheetName val="match 208"/>
      <sheetName val="match 209"/>
      <sheetName val="match 210"/>
      <sheetName val="match 211"/>
      <sheetName val="match 212"/>
      <sheetName val="match 213"/>
      <sheetName val="match 214"/>
      <sheetName val="match 215"/>
      <sheetName val="match 216"/>
      <sheetName val="match 217"/>
      <sheetName val="match 218"/>
      <sheetName val="match 219"/>
      <sheetName val="match 220"/>
      <sheetName val="Quarts 1"/>
      <sheetName val="Quarts 2"/>
      <sheetName val="Quarts 3"/>
      <sheetName val="Quarts 4"/>
      <sheetName val="Quarts Pul 1"/>
      <sheetName val="Quarts Pul2"/>
      <sheetName val="Demi 25-28"/>
      <sheetName val="Demi 29-32"/>
      <sheetName val="Demi 33-37"/>
      <sheetName val="Demi 1"/>
      <sheetName val="Demi 2"/>
      <sheetName val="Demi 3"/>
      <sheetName val="Demi 4"/>
      <sheetName val="Demi Pul 1"/>
      <sheetName val="Demi Pul 2"/>
      <sheetName val="Places 25-28"/>
      <sheetName val="Places 29-32"/>
      <sheetName val="Places 33-37"/>
      <sheetName val="Places 33-37 (2)"/>
      <sheetName val="Places 5-8"/>
      <sheetName val="Places 1-4"/>
      <sheetName val="Places 13-16"/>
      <sheetName val="Places 9-12"/>
      <sheetName val="Places 21-24"/>
      <sheetName val="Places 17-20"/>
    </sheetNames>
    <sheetDataSet>
      <sheetData sheetId="0"/>
      <sheetData sheetId="1"/>
      <sheetData sheetId="2"/>
      <sheetData sheetId="3"/>
      <sheetData sheetId="4"/>
      <sheetData sheetId="5">
        <row r="84">
          <cell r="B84" t="str">
            <v>NÜZIDERS</v>
          </cell>
        </row>
        <row r="91">
          <cell r="B91" t="str">
            <v>LA LOUVIERE</v>
          </cell>
        </row>
        <row r="98">
          <cell r="B98" t="str">
            <v>BIRKACH</v>
          </cell>
        </row>
        <row r="105">
          <cell r="B105" t="str">
            <v>HÖCHST 2</v>
          </cell>
        </row>
        <row r="112">
          <cell r="B112" t="str">
            <v>CD 21</v>
          </cell>
        </row>
        <row r="119">
          <cell r="B119" t="str">
            <v>BELFORT</v>
          </cell>
        </row>
        <row r="126">
          <cell r="B126" t="str">
            <v>DORNBIRN 2</v>
          </cell>
        </row>
        <row r="133">
          <cell r="B133" t="str">
            <v>THIMISTER 3</v>
          </cell>
        </row>
        <row r="140">
          <cell r="B140" t="str">
            <v>MAIZIERES LES METZ</v>
          </cell>
        </row>
        <row r="147">
          <cell r="B147" t="str">
            <v>CD 71-1</v>
          </cell>
        </row>
        <row r="154">
          <cell r="B154" t="str">
            <v>THIMISTER 2</v>
          </cell>
        </row>
        <row r="161">
          <cell r="B161" t="str">
            <v>CD 67</v>
          </cell>
        </row>
        <row r="162">
          <cell r="B162" t="str">
            <v>CD 71-2</v>
          </cell>
        </row>
        <row r="166">
          <cell r="B166" t="str">
            <v>ZANDHOVEN 1</v>
          </cell>
        </row>
        <row r="167">
          <cell r="B167" t="str">
            <v>THIMISTER 1</v>
          </cell>
        </row>
        <row r="168">
          <cell r="B168" t="str">
            <v>CD 68-2</v>
          </cell>
        </row>
        <row r="169">
          <cell r="B169" t="str">
            <v>HÖCHST 1</v>
          </cell>
        </row>
        <row r="170">
          <cell r="B170" t="str">
            <v>UNION DU CENTRE 1</v>
          </cell>
        </row>
        <row r="171">
          <cell r="B171" t="str">
            <v>VILLEJUIF</v>
          </cell>
        </row>
        <row r="172">
          <cell r="B172" t="str">
            <v>YUTZ 1</v>
          </cell>
        </row>
        <row r="173">
          <cell r="B173" t="str">
            <v>CANNES</v>
          </cell>
        </row>
        <row r="174">
          <cell r="B174" t="str">
            <v>HARNES</v>
          </cell>
        </row>
        <row r="175">
          <cell r="B175" t="str">
            <v>DORNBIRN 1</v>
          </cell>
        </row>
        <row r="176">
          <cell r="B176" t="str">
            <v>CD 68-1</v>
          </cell>
        </row>
        <row r="177">
          <cell r="B177" t="str">
            <v>AACHEN</v>
          </cell>
        </row>
        <row r="181">
          <cell r="B181" t="str">
            <v>KINGERSHEIM 2</v>
          </cell>
        </row>
        <row r="182">
          <cell r="B182" t="str">
            <v>ENSISHEIM</v>
          </cell>
        </row>
        <row r="183">
          <cell r="B183" t="str">
            <v>WEISSWASSER</v>
          </cell>
        </row>
        <row r="184">
          <cell r="B184" t="str">
            <v>CD 68-3</v>
          </cell>
        </row>
        <row r="185">
          <cell r="B185" t="str">
            <v>ZANHOVEN 2</v>
          </cell>
        </row>
        <row r="186">
          <cell r="B186" t="str">
            <v>LE TOUQUET</v>
          </cell>
        </row>
        <row r="187">
          <cell r="B187" t="str">
            <v>KINGERSHEIM 1</v>
          </cell>
        </row>
        <row r="188">
          <cell r="B188" t="str">
            <v>AUBAGNE</v>
          </cell>
        </row>
        <row r="189">
          <cell r="B189" t="str">
            <v>CD 68-4</v>
          </cell>
        </row>
        <row r="190">
          <cell r="B190" t="str">
            <v>UNION DU CENTRE 2</v>
          </cell>
        </row>
        <row r="191">
          <cell r="B191" t="str">
            <v>YUTZ 2</v>
          </cell>
        </row>
        <row r="192">
          <cell r="B192" t="str">
            <v>RIXHEIM</v>
          </cell>
        </row>
      </sheetData>
      <sheetData sheetId="6">
        <row r="82">
          <cell r="B82" t="str">
            <v>ZANDHOVEN 1</v>
          </cell>
        </row>
        <row r="83">
          <cell r="B83" t="str">
            <v>ZANHOVEN 2</v>
          </cell>
        </row>
        <row r="84">
          <cell r="B84" t="str">
            <v>CD 68-3</v>
          </cell>
        </row>
        <row r="89">
          <cell r="B89" t="str">
            <v>THIMISTER 1</v>
          </cell>
        </row>
        <row r="90">
          <cell r="B90" t="str">
            <v>LE TOUQUET</v>
          </cell>
        </row>
        <row r="91">
          <cell r="B91" t="str">
            <v>WEISSWASSER</v>
          </cell>
        </row>
        <row r="96">
          <cell r="B96" t="str">
            <v>CD 68-2</v>
          </cell>
        </row>
        <row r="97">
          <cell r="B97" t="str">
            <v>ENSISHEIM</v>
          </cell>
        </row>
        <row r="98">
          <cell r="B98" t="str">
            <v>KINGERSHEIM 1</v>
          </cell>
        </row>
        <row r="103">
          <cell r="B103" t="str">
            <v>HÖCHST 1</v>
          </cell>
        </row>
        <row r="104">
          <cell r="B104" t="str">
            <v>AUBAGNE</v>
          </cell>
        </row>
        <row r="105">
          <cell r="B105" t="str">
            <v>KINGERSHEIM 2</v>
          </cell>
        </row>
        <row r="110">
          <cell r="B110" t="str">
            <v>UNION DU CENTRE 1</v>
          </cell>
        </row>
        <row r="111">
          <cell r="B111" t="str">
            <v>AACHEN</v>
          </cell>
        </row>
        <row r="112">
          <cell r="B112" t="str">
            <v>CD 68-4</v>
          </cell>
        </row>
        <row r="117">
          <cell r="B117" t="str">
            <v>CD 68-1</v>
          </cell>
        </row>
        <row r="118">
          <cell r="B118" t="str">
            <v>VILLEJUIF</v>
          </cell>
        </row>
        <row r="119">
          <cell r="B119" t="str">
            <v>UNION DU CENTRE 2</v>
          </cell>
        </row>
        <row r="124">
          <cell r="B124" t="str">
            <v>DORNBIRN 1</v>
          </cell>
        </row>
        <row r="125">
          <cell r="B125" t="str">
            <v>YUTZ 1</v>
          </cell>
        </row>
        <row r="126">
          <cell r="B126" t="str">
            <v>YUTZ 2</v>
          </cell>
        </row>
        <row r="131">
          <cell r="B131" t="str">
            <v>CANNES</v>
          </cell>
        </row>
        <row r="132">
          <cell r="B132" t="str">
            <v>HARNES</v>
          </cell>
        </row>
        <row r="133">
          <cell r="B133" t="str">
            <v>RIXHEIM</v>
          </cell>
        </row>
        <row r="138">
          <cell r="B138" t="str">
            <v>CD 21</v>
          </cell>
        </row>
        <row r="139">
          <cell r="B139" t="str">
            <v>THIMISTER 3</v>
          </cell>
        </row>
        <row r="140">
          <cell r="B140" t="str">
            <v>CD 71-1</v>
          </cell>
        </row>
        <row r="145">
          <cell r="B145" t="str">
            <v>HÖCHST 2</v>
          </cell>
        </row>
        <row r="146">
          <cell r="B146" t="str">
            <v>DORNBIRN 2</v>
          </cell>
        </row>
        <row r="147">
          <cell r="B147" t="str">
            <v>CD 67</v>
          </cell>
        </row>
        <row r="152">
          <cell r="B152" t="str">
            <v>BIRKACH</v>
          </cell>
        </row>
        <row r="153">
          <cell r="B153" t="str">
            <v>THIMISTER 2</v>
          </cell>
        </row>
        <row r="154">
          <cell r="B154" t="str">
            <v>BELFORT</v>
          </cell>
        </row>
        <row r="159">
          <cell r="B159" t="str">
            <v>NÜZIDERS</v>
          </cell>
        </row>
        <row r="160">
          <cell r="B160" t="str">
            <v>MAIZIERES LES METZ</v>
          </cell>
        </row>
        <row r="161">
          <cell r="B161" t="str">
            <v>LA LOUVIERE</v>
          </cell>
        </row>
        <row r="162">
          <cell r="B162" t="str">
            <v>CD 71-2</v>
          </cell>
        </row>
      </sheetData>
      <sheetData sheetId="7">
        <row r="15">
          <cell r="W15" t="str">
            <v>1er poule</v>
          </cell>
        </row>
        <row r="16">
          <cell r="W16" t="str">
            <v>2e poule</v>
          </cell>
        </row>
        <row r="17">
          <cell r="W17" t="str">
            <v>3e poule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417"/>
  <sheetViews>
    <sheetView tabSelected="1" topLeftCell="A207" zoomScaleNormal="100" workbookViewId="0">
      <selection activeCell="N250" sqref="N250"/>
    </sheetView>
  </sheetViews>
  <sheetFormatPr baseColWidth="10" defaultRowHeight="14.4" x14ac:dyDescent="0.3"/>
  <cols>
    <col min="1" max="1" width="3.44140625" customWidth="1"/>
    <col min="2" max="2" width="19" customWidth="1"/>
    <col min="3" max="3" width="1.109375" customWidth="1"/>
    <col min="4" max="4" width="0.88671875" customWidth="1"/>
    <col min="5" max="5" width="1.109375" customWidth="1"/>
    <col min="6" max="6" width="9.44140625" customWidth="1"/>
    <col min="7" max="7" width="18.109375" customWidth="1"/>
    <col min="8" max="13" width="6.6640625" customWidth="1"/>
    <col min="14" max="14" width="18.109375" customWidth="1"/>
    <col min="15" max="15" width="0.5546875" customWidth="1"/>
    <col min="16" max="16" width="6.6640625" customWidth="1"/>
    <col min="17" max="17" width="6.109375" customWidth="1"/>
    <col min="18" max="18" width="0.44140625" customWidth="1"/>
    <col min="19" max="19" width="7.6640625" customWidth="1"/>
    <col min="20" max="20" width="7.44140625" customWidth="1"/>
    <col min="21" max="21" width="0.88671875" customWidth="1"/>
    <col min="22" max="22" width="18.109375" style="1" customWidth="1"/>
    <col min="25" max="25" width="22.44140625" customWidth="1"/>
  </cols>
  <sheetData>
    <row r="1" spans="1:32" ht="5.0999999999999996" customHeight="1" thickBot="1" x14ac:dyDescent="0.35"/>
    <row r="2" spans="1:32" ht="39.9" customHeight="1" x14ac:dyDescent="0.45">
      <c r="F2" s="2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5"/>
    </row>
    <row r="3" spans="1:32" ht="39.9" customHeight="1" x14ac:dyDescent="0.45"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5"/>
    </row>
    <row r="4" spans="1:32" ht="30" customHeight="1" thickBot="1" x14ac:dyDescent="0.5">
      <c r="F4" s="9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5"/>
    </row>
    <row r="5" spans="1:32" ht="20.100000000000001" customHeight="1" x14ac:dyDescent="0.4">
      <c r="V5" s="12"/>
    </row>
    <row r="6" spans="1:32" ht="20.100000000000001" customHeight="1" thickBot="1" x14ac:dyDescent="0.4">
      <c r="F6" s="13" t="s">
        <v>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32" ht="20.100000000000001" customHeight="1" thickBot="1" x14ac:dyDescent="0.35">
      <c r="F7" s="14" t="s">
        <v>4</v>
      </c>
      <c r="G7" s="15" t="s">
        <v>5</v>
      </c>
      <c r="H7" s="16"/>
      <c r="I7" s="16"/>
      <c r="J7" s="16"/>
      <c r="K7" s="16"/>
      <c r="L7" s="16"/>
      <c r="M7" s="16"/>
      <c r="N7" s="16"/>
      <c r="O7" s="17"/>
      <c r="P7" s="18" t="s">
        <v>6</v>
      </c>
      <c r="Q7" s="19"/>
      <c r="R7" s="20"/>
      <c r="S7" s="18" t="s">
        <v>7</v>
      </c>
      <c r="T7" s="21"/>
      <c r="U7" s="22"/>
      <c r="V7" s="23" t="s">
        <v>8</v>
      </c>
      <c r="Z7" s="24" t="s">
        <v>9</v>
      </c>
      <c r="AA7" s="24" t="s">
        <v>10</v>
      </c>
      <c r="AB7" s="24" t="s">
        <v>11</v>
      </c>
      <c r="AC7" s="24" t="s">
        <v>12</v>
      </c>
      <c r="AD7" s="24" t="s">
        <v>13</v>
      </c>
      <c r="AE7" s="24" t="s">
        <v>14</v>
      </c>
      <c r="AF7" s="24" t="s">
        <v>15</v>
      </c>
    </row>
    <row r="8" spans="1:32" ht="20.100000000000001" customHeight="1" x14ac:dyDescent="0.3">
      <c r="A8" s="25"/>
      <c r="B8" s="26" t="s">
        <v>16</v>
      </c>
      <c r="F8" s="27"/>
      <c r="G8" s="28"/>
      <c r="H8" s="29" t="s">
        <v>17</v>
      </c>
      <c r="I8" s="30"/>
      <c r="J8" s="29" t="s">
        <v>18</v>
      </c>
      <c r="K8" s="30"/>
      <c r="L8" s="29" t="s">
        <v>19</v>
      </c>
      <c r="M8" s="30"/>
      <c r="N8" s="28"/>
      <c r="O8" s="31"/>
      <c r="P8" s="32"/>
      <c r="Q8" s="33"/>
      <c r="R8" s="34"/>
      <c r="S8" s="32"/>
      <c r="T8" s="35"/>
      <c r="U8" s="36"/>
      <c r="V8" s="37"/>
      <c r="Y8" s="38" t="str">
        <f>B9</f>
        <v>CANNES</v>
      </c>
      <c r="Z8">
        <f>+IF(P9&gt;Q9,2,1)+IF(P11&gt;Q11,2,1)</f>
        <v>4</v>
      </c>
      <c r="AA8">
        <f>+P9+P11</f>
        <v>4</v>
      </c>
      <c r="AB8">
        <f>+Q9+Q11</f>
        <v>0</v>
      </c>
      <c r="AC8" s="39" t="str">
        <f>IF(AB8=0,"MAX",AA8/AB8)</f>
        <v>MAX</v>
      </c>
      <c r="AD8">
        <f>+S9+S11</f>
        <v>100</v>
      </c>
      <c r="AE8">
        <f>+T9+T11</f>
        <v>54</v>
      </c>
      <c r="AF8" s="39">
        <f>IF(AE8=0,"MAX",AD8/AE8)</f>
        <v>1.8518518518518519</v>
      </c>
    </row>
    <row r="9" spans="1:32" ht="20.100000000000001" customHeight="1" x14ac:dyDescent="0.3">
      <c r="A9" s="25">
        <v>1</v>
      </c>
      <c r="B9" s="38" t="s">
        <v>20</v>
      </c>
      <c r="F9" s="40" t="s">
        <v>21</v>
      </c>
      <c r="G9" s="41" t="str">
        <f>B9</f>
        <v>CANNES</v>
      </c>
      <c r="H9" s="42">
        <v>25</v>
      </c>
      <c r="I9" s="42">
        <v>13</v>
      </c>
      <c r="J9" s="42">
        <v>25</v>
      </c>
      <c r="K9" s="42">
        <v>17</v>
      </c>
      <c r="L9" s="42"/>
      <c r="M9" s="42"/>
      <c r="N9" s="43" t="str">
        <f>B10</f>
        <v>ZANHOVEN 2</v>
      </c>
      <c r="O9" s="31"/>
      <c r="P9" s="38">
        <f>IF(H9&gt;I9,1,0)+IF(J9&gt;K9,1,0)+IF(L9&gt;M9,1,0)</f>
        <v>2</v>
      </c>
      <c r="Q9" s="44">
        <f>IF(I9&gt;H9,1,0)+IF(K9&gt;J9,1,0)+IF(M9&gt;L9,1,0)</f>
        <v>0</v>
      </c>
      <c r="R9" s="45"/>
      <c r="S9" s="38">
        <f>H9+J9+L9</f>
        <v>50</v>
      </c>
      <c r="T9" s="46">
        <f>I9+K9+M9</f>
        <v>30</v>
      </c>
      <c r="U9" s="36"/>
      <c r="V9" s="47" t="str">
        <f>B11</f>
        <v>NÜZIDERS</v>
      </c>
      <c r="Y9" s="44" t="str">
        <f>B10</f>
        <v>ZANHOVEN 2</v>
      </c>
      <c r="Z9">
        <f>+IF(Q9&gt;P9,2,1)+IF(P10&gt;Q10,2,1)</f>
        <v>3</v>
      </c>
      <c r="AA9">
        <f>+Q9+P10</f>
        <v>2</v>
      </c>
      <c r="AB9">
        <f>+P9+Q10</f>
        <v>2</v>
      </c>
      <c r="AC9" s="39">
        <f t="shared" ref="AC9:AC10" si="0">IF(AB9=0,"MAX",AA9/AB9)</f>
        <v>1</v>
      </c>
      <c r="AD9">
        <f>+T9+S10</f>
        <v>80</v>
      </c>
      <c r="AE9">
        <f>+S9+T10</f>
        <v>74</v>
      </c>
      <c r="AF9" s="39">
        <f t="shared" ref="AF9:AF10" si="1">IF(AE9=0,"MAX",AD9/AE9)</f>
        <v>1.0810810810810811</v>
      </c>
    </row>
    <row r="10" spans="1:32" ht="20.100000000000001" customHeight="1" x14ac:dyDescent="0.3">
      <c r="A10" s="25">
        <v>2</v>
      </c>
      <c r="B10" s="44" t="s">
        <v>22</v>
      </c>
      <c r="F10" s="40" t="s">
        <v>23</v>
      </c>
      <c r="G10" s="43" t="str">
        <f>B10</f>
        <v>ZANHOVEN 2</v>
      </c>
      <c r="H10" s="42">
        <v>25</v>
      </c>
      <c r="I10" s="42">
        <v>11</v>
      </c>
      <c r="J10" s="42">
        <v>25</v>
      </c>
      <c r="K10" s="42">
        <v>13</v>
      </c>
      <c r="L10" s="42"/>
      <c r="M10" s="42"/>
      <c r="N10" s="48" t="str">
        <f>B11</f>
        <v>NÜZIDERS</v>
      </c>
      <c r="O10" s="31"/>
      <c r="P10" s="44">
        <f t="shared" ref="P10" si="2">IF(H10&gt;I10,1,0)+IF(J10&gt;K10,1,0)+IF(L10&gt;M10,1,0)</f>
        <v>2</v>
      </c>
      <c r="Q10" s="49">
        <f>IF(I10&gt;H10,1,0)+IF(K10&gt;J10,1,0)+IF(M10&gt;L10,1,0)</f>
        <v>0</v>
      </c>
      <c r="R10" s="45"/>
      <c r="S10" s="44">
        <f t="shared" ref="S10:T10" si="3">H10+J10+L10</f>
        <v>50</v>
      </c>
      <c r="T10" s="50">
        <f t="shared" si="3"/>
        <v>24</v>
      </c>
      <c r="U10" s="36"/>
      <c r="V10" s="47" t="str">
        <f>B9</f>
        <v>CANNES</v>
      </c>
      <c r="Y10" s="51" t="str">
        <f>B11</f>
        <v>NÜZIDERS</v>
      </c>
      <c r="Z10">
        <f>+IF(Q11&gt;P11,2,1)+IF(Q10&gt;P10,2,1)</f>
        <v>2</v>
      </c>
      <c r="AA10">
        <f>+Q11+Q10</f>
        <v>0</v>
      </c>
      <c r="AB10">
        <f>+P11+P10</f>
        <v>4</v>
      </c>
      <c r="AC10" s="39">
        <f t="shared" si="0"/>
        <v>0</v>
      </c>
      <c r="AD10">
        <f>+T11+T10</f>
        <v>48</v>
      </c>
      <c r="AE10">
        <f>+S11+S10</f>
        <v>100</v>
      </c>
      <c r="AF10" s="39">
        <f t="shared" si="1"/>
        <v>0.48</v>
      </c>
    </row>
    <row r="11" spans="1:32" ht="20.100000000000001" customHeight="1" thickBot="1" x14ac:dyDescent="0.35">
      <c r="A11" s="25">
        <v>3</v>
      </c>
      <c r="B11" s="51" t="s">
        <v>24</v>
      </c>
      <c r="F11" s="52" t="s">
        <v>25</v>
      </c>
      <c r="G11" s="53" t="str">
        <f>B9</f>
        <v>CANNES</v>
      </c>
      <c r="H11" s="54">
        <v>25</v>
      </c>
      <c r="I11" s="54">
        <v>7</v>
      </c>
      <c r="J11" s="54">
        <v>25</v>
      </c>
      <c r="K11" s="54">
        <v>17</v>
      </c>
      <c r="L11" s="54"/>
      <c r="M11" s="54"/>
      <c r="N11" s="55" t="str">
        <f>B11</f>
        <v>NÜZIDERS</v>
      </c>
      <c r="O11" s="56"/>
      <c r="P11" s="57">
        <f>IF(H11&gt;I11,1,0)+IF(J11&gt;K11,1,0)+IF(L11&gt;M11,1,0)</f>
        <v>2</v>
      </c>
      <c r="Q11" s="58">
        <f>IF(I11&gt;H11,1,0)+IF(K11&gt;J11,1,0)+IF(M11&gt;L11,1,0)</f>
        <v>0</v>
      </c>
      <c r="R11" s="59"/>
      <c r="S11" s="57">
        <f>H11+J11+L11</f>
        <v>50</v>
      </c>
      <c r="T11" s="60">
        <f>I11+K11+M11</f>
        <v>24</v>
      </c>
      <c r="U11" s="61"/>
      <c r="V11" s="62" t="str">
        <f>B10</f>
        <v>ZANHOVEN 2</v>
      </c>
    </row>
    <row r="12" spans="1:32" ht="20.100000000000001" customHeight="1" x14ac:dyDescent="0.4">
      <c r="V12" s="12"/>
    </row>
    <row r="13" spans="1:32" ht="20.100000000000001" customHeight="1" thickBot="1" x14ac:dyDescent="0.4">
      <c r="F13" s="13" t="s">
        <v>26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32" ht="20.100000000000001" customHeight="1" thickBot="1" x14ac:dyDescent="0.35">
      <c r="F14" s="14" t="s">
        <v>4</v>
      </c>
      <c r="G14" s="15" t="s">
        <v>27</v>
      </c>
      <c r="H14" s="16"/>
      <c r="I14" s="16"/>
      <c r="J14" s="16"/>
      <c r="K14" s="16"/>
      <c r="L14" s="16"/>
      <c r="M14" s="16"/>
      <c r="N14" s="16"/>
      <c r="O14" s="17"/>
      <c r="P14" s="18" t="s">
        <v>6</v>
      </c>
      <c r="Q14" s="19"/>
      <c r="R14" s="20"/>
      <c r="S14" s="18" t="s">
        <v>7</v>
      </c>
      <c r="T14" s="63"/>
      <c r="U14" s="22"/>
      <c r="V14" s="23" t="s">
        <v>8</v>
      </c>
      <c r="Z14" s="24" t="s">
        <v>9</v>
      </c>
      <c r="AA14" s="24" t="s">
        <v>10</v>
      </c>
      <c r="AB14" s="24" t="s">
        <v>11</v>
      </c>
      <c r="AC14" s="24" t="s">
        <v>12</v>
      </c>
      <c r="AD14" s="24" t="s">
        <v>13</v>
      </c>
      <c r="AE14" s="24" t="s">
        <v>14</v>
      </c>
      <c r="AF14" s="24" t="s">
        <v>15</v>
      </c>
    </row>
    <row r="15" spans="1:32" ht="20.100000000000001" customHeight="1" x14ac:dyDescent="0.3">
      <c r="A15" s="64"/>
      <c r="B15" s="26" t="s">
        <v>28</v>
      </c>
      <c r="F15" s="65"/>
      <c r="G15" s="28"/>
      <c r="H15" s="29" t="s">
        <v>17</v>
      </c>
      <c r="I15" s="30"/>
      <c r="J15" s="29" t="s">
        <v>18</v>
      </c>
      <c r="K15" s="30"/>
      <c r="L15" s="29" t="s">
        <v>19</v>
      </c>
      <c r="M15" s="30"/>
      <c r="N15" s="28"/>
      <c r="O15" s="31"/>
      <c r="P15" s="32"/>
      <c r="Q15" s="33"/>
      <c r="R15" s="34"/>
      <c r="S15" s="32"/>
      <c r="T15" s="66"/>
      <c r="U15" s="36"/>
      <c r="V15" s="37"/>
      <c r="Y15" s="38" t="str">
        <f>B16</f>
        <v>YUTZ 1</v>
      </c>
      <c r="Z15">
        <f>+IF(P16&gt;Q16,2,1)+IF(P18&gt;Q18,2,1)</f>
        <v>4</v>
      </c>
      <c r="AA15">
        <f>+P16+P18</f>
        <v>4</v>
      </c>
      <c r="AB15">
        <f>+Q16+Q18</f>
        <v>0</v>
      </c>
      <c r="AC15" s="39" t="str">
        <f>IF(AB15=0,"MAX",AA15/AB15)</f>
        <v>MAX</v>
      </c>
      <c r="AD15">
        <f>+S16+S18</f>
        <v>100</v>
      </c>
      <c r="AE15">
        <f>+T16+T18</f>
        <v>47</v>
      </c>
      <c r="AF15" s="39">
        <f>IF(AE15=0,"MAX",AD15/AE15)</f>
        <v>2.1276595744680851</v>
      </c>
    </row>
    <row r="16" spans="1:32" ht="20.100000000000001" customHeight="1" x14ac:dyDescent="0.3">
      <c r="A16" s="25">
        <v>1</v>
      </c>
      <c r="B16" s="38" t="s">
        <v>29</v>
      </c>
      <c r="F16" s="40" t="s">
        <v>21</v>
      </c>
      <c r="G16" s="41" t="str">
        <f>B16</f>
        <v>YUTZ 1</v>
      </c>
      <c r="H16" s="42">
        <v>25</v>
      </c>
      <c r="I16" s="42">
        <v>10</v>
      </c>
      <c r="J16" s="42">
        <v>25</v>
      </c>
      <c r="K16" s="42">
        <v>12</v>
      </c>
      <c r="L16" s="42"/>
      <c r="M16" s="42"/>
      <c r="N16" s="43" t="str">
        <f>B17</f>
        <v>CD 68-4</v>
      </c>
      <c r="O16" s="31"/>
      <c r="P16" s="38">
        <f>IF(H16&gt;I16,1,0)+IF(J16&gt;K16,1,0)+IF(L16&gt;M16,1,0)</f>
        <v>2</v>
      </c>
      <c r="Q16" s="44">
        <f>IF(I16&gt;H16,1,0)+IF(K16&gt;J16,1,0)+IF(M16&gt;L16,1,0)</f>
        <v>0</v>
      </c>
      <c r="R16" s="45"/>
      <c r="S16" s="38">
        <f>H16+J16+L16</f>
        <v>50</v>
      </c>
      <c r="T16" s="46">
        <f>I16+K16+M16</f>
        <v>22</v>
      </c>
      <c r="U16" s="36"/>
      <c r="V16" s="47" t="str">
        <f>B18</f>
        <v>LA LOUVIERE</v>
      </c>
      <c r="Y16" s="44" t="str">
        <f>B17</f>
        <v>CD 68-4</v>
      </c>
      <c r="Z16">
        <f>+IF(Q16&gt;P16,2,1)+IF(P17&gt;Q17,2,1)</f>
        <v>3</v>
      </c>
      <c r="AA16">
        <f>+Q16+P17</f>
        <v>2</v>
      </c>
      <c r="AB16">
        <f>+P16+Q17</f>
        <v>2</v>
      </c>
      <c r="AC16" s="39">
        <f t="shared" ref="AC16:AC17" si="4">IF(AB16=0,"MAX",AA16/AB16)</f>
        <v>1</v>
      </c>
      <c r="AD16">
        <f>+T16+S17</f>
        <v>72</v>
      </c>
      <c r="AE16">
        <f>+S16+T17</f>
        <v>85</v>
      </c>
      <c r="AF16" s="39">
        <f t="shared" ref="AF16:AF17" si="5">IF(AE16=0,"MAX",AD16/AE16)</f>
        <v>0.84705882352941175</v>
      </c>
    </row>
    <row r="17" spans="1:32" ht="20.100000000000001" customHeight="1" thickBot="1" x14ac:dyDescent="0.35">
      <c r="A17" s="25">
        <v>2</v>
      </c>
      <c r="B17" s="44" t="s">
        <v>30</v>
      </c>
      <c r="F17" s="40" t="s">
        <v>25</v>
      </c>
      <c r="G17" s="43" t="str">
        <f>B17</f>
        <v>CD 68-4</v>
      </c>
      <c r="H17" s="42">
        <v>25</v>
      </c>
      <c r="I17" s="42">
        <v>21</v>
      </c>
      <c r="J17" s="42">
        <v>25</v>
      </c>
      <c r="K17" s="42">
        <v>14</v>
      </c>
      <c r="L17" s="42"/>
      <c r="M17" s="42"/>
      <c r="N17" s="48" t="str">
        <f>B18</f>
        <v>LA LOUVIERE</v>
      </c>
      <c r="O17" s="56"/>
      <c r="P17" s="67">
        <f t="shared" ref="P17" si="6">IF(H17&gt;I17,1,0)+IF(J17&gt;K17,1,0)+IF(L17&gt;M17,1,0)</f>
        <v>2</v>
      </c>
      <c r="Q17" s="58">
        <f t="shared" ref="Q17" si="7">IF(I17&gt;H17,1,0)+IF(K17&gt;J17,1,0)+IF(M17&gt;L17,1,0)</f>
        <v>0</v>
      </c>
      <c r="R17" s="59"/>
      <c r="S17" s="67">
        <f t="shared" ref="S17:T17" si="8">H17+J17+L17</f>
        <v>50</v>
      </c>
      <c r="T17" s="60">
        <f t="shared" si="8"/>
        <v>35</v>
      </c>
      <c r="U17" s="61"/>
      <c r="V17" s="47" t="str">
        <f>B16</f>
        <v>YUTZ 1</v>
      </c>
      <c r="Y17" s="51" t="str">
        <f>B18</f>
        <v>LA LOUVIERE</v>
      </c>
      <c r="Z17">
        <f>+IF(Q18&gt;P18,2,1)+IF(Q17&gt;P17,2,1)</f>
        <v>2</v>
      </c>
      <c r="AA17">
        <f>+Q18+Q17</f>
        <v>0</v>
      </c>
      <c r="AB17">
        <f>+P18+P17</f>
        <v>4</v>
      </c>
      <c r="AC17" s="39">
        <f t="shared" si="4"/>
        <v>0</v>
      </c>
      <c r="AD17">
        <f>+T18+T17</f>
        <v>60</v>
      </c>
      <c r="AE17">
        <f>+S18+S17</f>
        <v>100</v>
      </c>
      <c r="AF17" s="39">
        <f t="shared" si="5"/>
        <v>0.6</v>
      </c>
    </row>
    <row r="18" spans="1:32" ht="20.100000000000001" customHeight="1" thickBot="1" x14ac:dyDescent="0.35">
      <c r="A18" s="25">
        <v>3</v>
      </c>
      <c r="B18" s="51" t="s">
        <v>31</v>
      </c>
      <c r="F18" s="68" t="s">
        <v>32</v>
      </c>
      <c r="G18" s="53" t="str">
        <f>B16</f>
        <v>YUTZ 1</v>
      </c>
      <c r="H18" s="54">
        <v>25</v>
      </c>
      <c r="I18" s="54">
        <v>9</v>
      </c>
      <c r="J18" s="54">
        <v>25</v>
      </c>
      <c r="K18" s="54">
        <v>16</v>
      </c>
      <c r="L18" s="54"/>
      <c r="M18" s="54"/>
      <c r="N18" s="55" t="str">
        <f>B18</f>
        <v>LA LOUVIERE</v>
      </c>
      <c r="O18" s="56"/>
      <c r="P18" s="57">
        <f>IF(H18&gt;I18,1,0)+IF(J18&gt;K18,1,0)+IF(L18&gt;M18,1,0)</f>
        <v>2</v>
      </c>
      <c r="Q18" s="58">
        <f>IF(I18&gt;H18,1,0)+IF(K18&gt;J18,1,0)+IF(M18&gt;L18,1,0)</f>
        <v>0</v>
      </c>
      <c r="R18" s="59"/>
      <c r="S18" s="57">
        <f>H18+J18+L18</f>
        <v>50</v>
      </c>
      <c r="T18" s="60">
        <f>I18+K18+M18</f>
        <v>25</v>
      </c>
      <c r="U18" s="61"/>
      <c r="V18" s="62" t="str">
        <f>B17</f>
        <v>CD 68-4</v>
      </c>
    </row>
    <row r="19" spans="1:32" ht="20.100000000000001" customHeight="1" x14ac:dyDescent="0.3">
      <c r="A19" s="69"/>
      <c r="B19" s="69"/>
      <c r="C19" s="70"/>
      <c r="D19" s="70"/>
      <c r="E19" s="70"/>
      <c r="F19" s="71"/>
      <c r="G19" s="72"/>
      <c r="H19" s="72"/>
      <c r="I19" s="72"/>
      <c r="J19" s="72"/>
      <c r="K19" s="72"/>
      <c r="L19" s="72"/>
      <c r="M19" s="72"/>
      <c r="N19" s="72"/>
      <c r="O19" s="71"/>
      <c r="P19" s="69"/>
      <c r="Q19" s="69"/>
      <c r="R19" s="69"/>
      <c r="S19" s="69"/>
      <c r="T19" s="69"/>
      <c r="U19" s="71"/>
      <c r="V19" s="73"/>
    </row>
    <row r="20" spans="1:32" ht="20.100000000000001" customHeight="1" thickBot="1" x14ac:dyDescent="0.4">
      <c r="F20" s="13" t="s">
        <v>33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32" ht="20.100000000000001" customHeight="1" thickBot="1" x14ac:dyDescent="0.35">
      <c r="F21" s="14" t="s">
        <v>4</v>
      </c>
      <c r="G21" s="15" t="s">
        <v>34</v>
      </c>
      <c r="H21" s="16"/>
      <c r="I21" s="16"/>
      <c r="J21" s="16"/>
      <c r="K21" s="16"/>
      <c r="L21" s="16"/>
      <c r="M21" s="16"/>
      <c r="N21" s="16"/>
      <c r="O21" s="17"/>
      <c r="P21" s="18" t="s">
        <v>6</v>
      </c>
      <c r="Q21" s="19"/>
      <c r="R21" s="20"/>
      <c r="S21" s="18" t="s">
        <v>7</v>
      </c>
      <c r="T21" s="21"/>
      <c r="U21" s="22"/>
      <c r="V21" s="23" t="s">
        <v>8</v>
      </c>
      <c r="Z21" s="24" t="s">
        <v>9</v>
      </c>
      <c r="AA21" s="24" t="s">
        <v>10</v>
      </c>
      <c r="AB21" s="24" t="s">
        <v>11</v>
      </c>
      <c r="AC21" s="24" t="s">
        <v>12</v>
      </c>
      <c r="AD21" s="24" t="s">
        <v>13</v>
      </c>
      <c r="AE21" s="24" t="s">
        <v>14</v>
      </c>
      <c r="AF21" s="24" t="s">
        <v>15</v>
      </c>
    </row>
    <row r="22" spans="1:32" ht="20.100000000000001" customHeight="1" x14ac:dyDescent="0.3">
      <c r="A22" s="25"/>
      <c r="B22" s="26" t="s">
        <v>35</v>
      </c>
      <c r="F22" s="27"/>
      <c r="G22" s="28"/>
      <c r="H22" s="29" t="s">
        <v>17</v>
      </c>
      <c r="I22" s="30"/>
      <c r="J22" s="29" t="s">
        <v>18</v>
      </c>
      <c r="K22" s="30"/>
      <c r="L22" s="29" t="s">
        <v>19</v>
      </c>
      <c r="M22" s="30"/>
      <c r="N22" s="28"/>
      <c r="O22" s="31"/>
      <c r="P22" s="32"/>
      <c r="Q22" s="33"/>
      <c r="R22" s="34"/>
      <c r="S22" s="32"/>
      <c r="T22" s="35"/>
      <c r="U22" s="36"/>
      <c r="V22" s="37"/>
      <c r="Y22" s="38" t="str">
        <f>B23</f>
        <v>VILLEJUIF</v>
      </c>
      <c r="Z22">
        <f>+IF(P23&gt;Q23,2,1)+IF(P25&gt;Q25,2,1)</f>
        <v>4</v>
      </c>
      <c r="AA22">
        <f>+P23+P25</f>
        <v>4</v>
      </c>
      <c r="AB22">
        <f>+Q23+Q25</f>
        <v>0</v>
      </c>
      <c r="AC22" s="39" t="str">
        <f>IF(AB22=0,"MAX",AA22/AB22)</f>
        <v>MAX</v>
      </c>
      <c r="AD22">
        <f>+S23+S25</f>
        <v>100</v>
      </c>
      <c r="AE22">
        <f>+T23+T25</f>
        <v>46</v>
      </c>
      <c r="AF22" s="39">
        <f>IF(AE22=0,"MAX",AD22/AE22)</f>
        <v>2.1739130434782608</v>
      </c>
    </row>
    <row r="23" spans="1:32" ht="20.100000000000001" customHeight="1" x14ac:dyDescent="0.3">
      <c r="A23" s="25">
        <v>1</v>
      </c>
      <c r="B23" s="38" t="s">
        <v>36</v>
      </c>
      <c r="F23" s="40" t="s">
        <v>21</v>
      </c>
      <c r="G23" s="41" t="str">
        <f>B23</f>
        <v>VILLEJUIF</v>
      </c>
      <c r="H23" s="42">
        <v>25</v>
      </c>
      <c r="I23" s="42">
        <v>5</v>
      </c>
      <c r="J23" s="42">
        <v>25</v>
      </c>
      <c r="K23" s="42">
        <v>12</v>
      </c>
      <c r="L23" s="42"/>
      <c r="M23" s="42"/>
      <c r="N23" s="43" t="str">
        <f>B24</f>
        <v>BIRKACH</v>
      </c>
      <c r="O23" s="31"/>
      <c r="P23" s="38">
        <f>IF(H23&gt;I23,1,0)+IF(J23&gt;K23,1,0)+IF(L23&gt;M23,1,0)</f>
        <v>2</v>
      </c>
      <c r="Q23" s="44">
        <f>IF(I23&gt;H23,1,0)+IF(K23&gt;J23,1,0)+IF(M23&gt;L23,1,0)</f>
        <v>0</v>
      </c>
      <c r="R23" s="45"/>
      <c r="S23" s="38">
        <f t="shared" ref="S23:T25" si="9">H23+J23+L23</f>
        <v>50</v>
      </c>
      <c r="T23" s="46">
        <f t="shared" si="9"/>
        <v>17</v>
      </c>
      <c r="U23" s="36"/>
      <c r="V23" s="47" t="str">
        <f>B25</f>
        <v>CD 68-3</v>
      </c>
      <c r="Y23" s="44" t="str">
        <f>B24</f>
        <v>BIRKACH</v>
      </c>
      <c r="Z23">
        <f>+IF(Q23&gt;P23,2,1)+IF(P24&gt;Q24,2,1)</f>
        <v>2</v>
      </c>
      <c r="AA23">
        <f>+Q23+P24</f>
        <v>0</v>
      </c>
      <c r="AB23">
        <f>+P23+Q24</f>
        <v>4</v>
      </c>
      <c r="AC23" s="39">
        <f t="shared" ref="AC23:AC24" si="10">IF(AB23=0,"MAX",AA23/AB23)</f>
        <v>0</v>
      </c>
      <c r="AD23">
        <f>+T23+S24</f>
        <v>38</v>
      </c>
      <c r="AE23">
        <f>+S23+T24</f>
        <v>100</v>
      </c>
      <c r="AF23" s="39">
        <f t="shared" ref="AF23:AF24" si="11">IF(AE23=0,"MAX",AD23/AE23)</f>
        <v>0.38</v>
      </c>
    </row>
    <row r="24" spans="1:32" ht="20.100000000000001" customHeight="1" x14ac:dyDescent="0.3">
      <c r="A24" s="25">
        <v>2</v>
      </c>
      <c r="B24" s="44" t="s">
        <v>37</v>
      </c>
      <c r="F24" s="40" t="s">
        <v>25</v>
      </c>
      <c r="G24" s="43" t="str">
        <f>B24</f>
        <v>BIRKACH</v>
      </c>
      <c r="H24" s="42">
        <v>10</v>
      </c>
      <c r="I24" s="42">
        <v>25</v>
      </c>
      <c r="J24" s="42">
        <v>11</v>
      </c>
      <c r="K24" s="42">
        <v>25</v>
      </c>
      <c r="L24" s="42"/>
      <c r="M24" s="42"/>
      <c r="N24" s="48" t="str">
        <f>B25</f>
        <v>CD 68-3</v>
      </c>
      <c r="O24" s="31"/>
      <c r="P24" s="44">
        <f>IF(H24&gt;I24,1,0)+IF(J24&gt;K24,1,0)+IF(L24&gt;M24,1,0)</f>
        <v>0</v>
      </c>
      <c r="Q24" s="49">
        <f>IF(I24&gt;H24,1,0)+IF(K24&gt;J24,1,0)+IF(M24&gt;L24,1,0)</f>
        <v>2</v>
      </c>
      <c r="R24" s="45"/>
      <c r="S24" s="44">
        <f t="shared" si="9"/>
        <v>21</v>
      </c>
      <c r="T24" s="50">
        <f t="shared" si="9"/>
        <v>50</v>
      </c>
      <c r="U24" s="36"/>
      <c r="V24" s="47" t="str">
        <f>B23</f>
        <v>VILLEJUIF</v>
      </c>
      <c r="Y24" s="51" t="str">
        <f>B25</f>
        <v>CD 68-3</v>
      </c>
      <c r="Z24">
        <f>+IF(Q24&gt;P24,2,1)+IF(Q25&gt;P25,2,1)</f>
        <v>3</v>
      </c>
      <c r="AA24">
        <f>+Q24+Q25</f>
        <v>2</v>
      </c>
      <c r="AB24">
        <f>+P24+P25</f>
        <v>2</v>
      </c>
      <c r="AC24" s="39">
        <f t="shared" si="10"/>
        <v>1</v>
      </c>
      <c r="AD24">
        <f>+T24+T25</f>
        <v>79</v>
      </c>
      <c r="AE24">
        <f>+S24+S25</f>
        <v>71</v>
      </c>
      <c r="AF24" s="39">
        <f t="shared" si="11"/>
        <v>1.1126760563380282</v>
      </c>
    </row>
    <row r="25" spans="1:32" ht="20.100000000000001" customHeight="1" thickBot="1" x14ac:dyDescent="0.35">
      <c r="A25" s="25">
        <v>3</v>
      </c>
      <c r="B25" s="51" t="s">
        <v>38</v>
      </c>
      <c r="F25" s="68" t="s">
        <v>32</v>
      </c>
      <c r="G25" s="53" t="str">
        <f>B23</f>
        <v>VILLEJUIF</v>
      </c>
      <c r="H25" s="54">
        <v>25</v>
      </c>
      <c r="I25" s="54">
        <v>11</v>
      </c>
      <c r="J25" s="54">
        <v>25</v>
      </c>
      <c r="K25" s="54">
        <v>18</v>
      </c>
      <c r="L25" s="54"/>
      <c r="M25" s="54"/>
      <c r="N25" s="55" t="str">
        <f>B25</f>
        <v>CD 68-3</v>
      </c>
      <c r="O25" s="56"/>
      <c r="P25" s="57">
        <f>IF(H25&gt;I25,1,0)+IF(J25&gt;K25,1,0)+IF(L25&gt;M25,1,0)</f>
        <v>2</v>
      </c>
      <c r="Q25" s="58">
        <f>IF(I25&gt;H25,1,0)+IF(K25&gt;J25,1,0)+IF(M25&gt;L25,1,0)</f>
        <v>0</v>
      </c>
      <c r="R25" s="59"/>
      <c r="S25" s="57">
        <f t="shared" si="9"/>
        <v>50</v>
      </c>
      <c r="T25" s="60">
        <f t="shared" si="9"/>
        <v>29</v>
      </c>
      <c r="U25" s="61"/>
      <c r="V25" s="62" t="str">
        <f>B24</f>
        <v>BIRKACH</v>
      </c>
    </row>
    <row r="26" spans="1:32" ht="5.0999999999999996" customHeight="1" thickBot="1" x14ac:dyDescent="0.35">
      <c r="F26" s="71"/>
      <c r="G26" s="72"/>
      <c r="H26" s="72"/>
      <c r="I26" s="72"/>
      <c r="J26" s="72"/>
      <c r="K26" s="72"/>
      <c r="L26" s="72"/>
      <c r="M26" s="72"/>
      <c r="N26" s="72"/>
      <c r="O26" s="69"/>
      <c r="P26" s="69"/>
      <c r="Q26" s="69"/>
      <c r="R26" s="69"/>
      <c r="S26" s="69"/>
      <c r="T26" s="69"/>
      <c r="U26" s="71"/>
      <c r="V26" s="73"/>
    </row>
    <row r="27" spans="1:32" ht="39.9" customHeight="1" x14ac:dyDescent="0.3">
      <c r="F27" s="2" t="s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71"/>
      <c r="V27" s="73"/>
    </row>
    <row r="28" spans="1:32" ht="39.9" customHeight="1" x14ac:dyDescent="0.3">
      <c r="F28" s="6" t="s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71"/>
      <c r="V28" s="73"/>
    </row>
    <row r="29" spans="1:32" ht="30" customHeight="1" thickBot="1" x14ac:dyDescent="0.35">
      <c r="F29" s="9" t="s">
        <v>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  <c r="U29" s="71"/>
      <c r="V29" s="73"/>
    </row>
    <row r="30" spans="1:32" ht="20.100000000000001" customHeight="1" x14ac:dyDescent="0.4">
      <c r="V30" s="12"/>
    </row>
    <row r="31" spans="1:32" ht="20.100000000000001" customHeight="1" thickBot="1" x14ac:dyDescent="0.4">
      <c r="F31" s="13" t="s">
        <v>39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32" ht="20.100000000000001" customHeight="1" thickBot="1" x14ac:dyDescent="0.35">
      <c r="F32" s="14" t="s">
        <v>4</v>
      </c>
      <c r="G32" s="15" t="s">
        <v>40</v>
      </c>
      <c r="H32" s="16"/>
      <c r="I32" s="16"/>
      <c r="J32" s="16"/>
      <c r="K32" s="16"/>
      <c r="L32" s="16"/>
      <c r="M32" s="16"/>
      <c r="N32" s="16"/>
      <c r="O32" s="17"/>
      <c r="P32" s="18" t="s">
        <v>6</v>
      </c>
      <c r="Q32" s="19"/>
      <c r="R32" s="20"/>
      <c r="S32" s="18" t="s">
        <v>7</v>
      </c>
      <c r="T32" s="21"/>
      <c r="U32" s="22"/>
      <c r="V32" s="23" t="s">
        <v>8</v>
      </c>
      <c r="Z32" s="24" t="s">
        <v>9</v>
      </c>
      <c r="AA32" s="24" t="s">
        <v>10</v>
      </c>
      <c r="AB32" s="24" t="s">
        <v>11</v>
      </c>
      <c r="AC32" s="24" t="s">
        <v>12</v>
      </c>
      <c r="AD32" s="24" t="s">
        <v>13</v>
      </c>
      <c r="AE32" s="24" t="s">
        <v>14</v>
      </c>
      <c r="AF32" s="24" t="s">
        <v>15</v>
      </c>
    </row>
    <row r="33" spans="1:33" ht="20.100000000000001" customHeight="1" x14ac:dyDescent="0.3">
      <c r="A33" s="25"/>
      <c r="B33" s="26" t="s">
        <v>41</v>
      </c>
      <c r="F33" s="27"/>
      <c r="G33" s="28"/>
      <c r="H33" s="29" t="s">
        <v>17</v>
      </c>
      <c r="I33" s="30"/>
      <c r="J33" s="29" t="s">
        <v>18</v>
      </c>
      <c r="K33" s="30"/>
      <c r="L33" s="29" t="s">
        <v>19</v>
      </c>
      <c r="M33" s="30"/>
      <c r="N33" s="28"/>
      <c r="O33" s="31"/>
      <c r="P33" s="32"/>
      <c r="Q33" s="33"/>
      <c r="R33" s="34"/>
      <c r="S33" s="32"/>
      <c r="T33" s="35"/>
      <c r="U33" s="36"/>
      <c r="V33" s="37"/>
      <c r="Y33" s="38" t="str">
        <f>B34</f>
        <v>HARNES</v>
      </c>
      <c r="Z33">
        <f>+IF(P34&gt;Q34,2,1)+IF(P36&gt;Q36,2,1)</f>
        <v>4</v>
      </c>
      <c r="AA33">
        <f>+P34+P36</f>
        <v>4</v>
      </c>
      <c r="AB33">
        <f>+Q34+Q36</f>
        <v>0</v>
      </c>
      <c r="AC33" s="39" t="str">
        <f>IF(AB33=0,"MAX",AA33/AB33)</f>
        <v>MAX</v>
      </c>
      <c r="AD33">
        <f>+S34+S36</f>
        <v>100</v>
      </c>
      <c r="AE33">
        <f>+T34+T36</f>
        <v>55</v>
      </c>
      <c r="AF33" s="39">
        <f>IF(AE33=0,"MAX",AD33/AE33)</f>
        <v>1.8181818181818181</v>
      </c>
    </row>
    <row r="34" spans="1:33" ht="20.100000000000001" customHeight="1" x14ac:dyDescent="0.3">
      <c r="A34" s="25">
        <v>1</v>
      </c>
      <c r="B34" s="38" t="s">
        <v>42</v>
      </c>
      <c r="F34" s="40" t="s">
        <v>21</v>
      </c>
      <c r="G34" s="41" t="str">
        <f>B34</f>
        <v>HARNES</v>
      </c>
      <c r="H34" s="42">
        <v>25</v>
      </c>
      <c r="I34" s="42">
        <v>8</v>
      </c>
      <c r="J34" s="42">
        <v>25</v>
      </c>
      <c r="K34" s="42">
        <v>14</v>
      </c>
      <c r="L34" s="42"/>
      <c r="M34" s="42"/>
      <c r="N34" s="43" t="str">
        <f>B35</f>
        <v>HÖCHST 2</v>
      </c>
      <c r="O34" s="31"/>
      <c r="P34" s="38">
        <f>IF(H34&gt;I34,1,0)+IF(J34&gt;K34,1,0)+IF(L34&gt;M34,1,0)</f>
        <v>2</v>
      </c>
      <c r="Q34" s="44">
        <f>IF(I34&gt;H34,1,0)+IF(K34&gt;J34,1,0)+IF(M34&gt;L34,1,0)</f>
        <v>0</v>
      </c>
      <c r="R34" s="45"/>
      <c r="S34" s="38">
        <f>H34+J34+L34</f>
        <v>50</v>
      </c>
      <c r="T34" s="46">
        <f>I34+K34+M34</f>
        <v>22</v>
      </c>
      <c r="U34" s="36"/>
      <c r="V34" s="47" t="str">
        <f>B36</f>
        <v>WEISSWASSER</v>
      </c>
      <c r="Y34" s="44" t="str">
        <f>B35</f>
        <v>HÖCHST 2</v>
      </c>
      <c r="Z34">
        <f>+IF(Q34&gt;P34,2,1)+IF(P35&gt;Q35,2,1)</f>
        <v>2</v>
      </c>
      <c r="AA34">
        <f>+Q34+P35</f>
        <v>0</v>
      </c>
      <c r="AB34">
        <f>+P34+Q35</f>
        <v>4</v>
      </c>
      <c r="AC34" s="39">
        <f>IF(AB34=0,"MAX",AA34/AB34)</f>
        <v>0</v>
      </c>
      <c r="AD34">
        <f>+T34+S35</f>
        <v>45</v>
      </c>
      <c r="AE34">
        <f>+S34+T35</f>
        <v>100</v>
      </c>
      <c r="AF34" s="39">
        <f>IF(AE34=0,"MAX",AD34/AE34)</f>
        <v>0.45</v>
      </c>
    </row>
    <row r="35" spans="1:33" ht="20.100000000000001" customHeight="1" x14ac:dyDescent="0.3">
      <c r="A35" s="25">
        <v>2</v>
      </c>
      <c r="B35" s="44" t="s">
        <v>43</v>
      </c>
      <c r="F35" s="40" t="s">
        <v>23</v>
      </c>
      <c r="G35" s="43" t="str">
        <f>B35</f>
        <v>HÖCHST 2</v>
      </c>
      <c r="H35" s="42">
        <v>12</v>
      </c>
      <c r="I35" s="42">
        <v>25</v>
      </c>
      <c r="J35" s="42">
        <v>11</v>
      </c>
      <c r="K35" s="42">
        <v>25</v>
      </c>
      <c r="L35" s="42"/>
      <c r="M35" s="42"/>
      <c r="N35" s="48" t="str">
        <f>B36</f>
        <v>WEISSWASSER</v>
      </c>
      <c r="O35" s="31"/>
      <c r="P35" s="44">
        <f t="shared" ref="P35" si="12">IF(H35&gt;I35,1,0)+IF(J35&gt;K35,1,0)+IF(L35&gt;M35,1,0)</f>
        <v>0</v>
      </c>
      <c r="Q35" s="49">
        <f t="shared" ref="Q35" si="13">IF(I35&gt;H35,1,0)+IF(K35&gt;J35,1,0)+IF(M35&gt;L35,1,0)</f>
        <v>2</v>
      </c>
      <c r="R35" s="45"/>
      <c r="S35" s="44">
        <f t="shared" ref="S35:T35" si="14">H35+J35+L35</f>
        <v>23</v>
      </c>
      <c r="T35" s="50">
        <f t="shared" si="14"/>
        <v>50</v>
      </c>
      <c r="U35" s="36"/>
      <c r="V35" s="47" t="str">
        <f>B34</f>
        <v>HARNES</v>
      </c>
      <c r="Y35" s="51" t="str">
        <f>B36</f>
        <v>WEISSWASSER</v>
      </c>
      <c r="Z35">
        <f>+IF(Q35&gt;P35,2,1)+IF(Q36&gt;P36,2,1)</f>
        <v>3</v>
      </c>
      <c r="AA35">
        <f>+Q35+Q36</f>
        <v>2</v>
      </c>
      <c r="AB35">
        <f>+P35+P36</f>
        <v>2</v>
      </c>
      <c r="AC35" s="39">
        <f>IF(AB35=0,"MAX",AA35/AB35)</f>
        <v>1</v>
      </c>
      <c r="AD35">
        <f>+T35+T36</f>
        <v>83</v>
      </c>
      <c r="AE35">
        <f>+S35+S36</f>
        <v>73</v>
      </c>
      <c r="AF35" s="39">
        <f>IF(AE35=0,"MAX",AD35/AE35)</f>
        <v>1.1369863013698631</v>
      </c>
    </row>
    <row r="36" spans="1:33" ht="20.100000000000001" customHeight="1" thickBot="1" x14ac:dyDescent="0.35">
      <c r="A36" s="25">
        <v>3</v>
      </c>
      <c r="B36" s="51" t="s">
        <v>44</v>
      </c>
      <c r="F36" s="52" t="s">
        <v>25</v>
      </c>
      <c r="G36" s="53" t="str">
        <f>B34</f>
        <v>HARNES</v>
      </c>
      <c r="H36" s="54">
        <v>25</v>
      </c>
      <c r="I36" s="54">
        <v>19</v>
      </c>
      <c r="J36" s="54">
        <v>25</v>
      </c>
      <c r="K36" s="54">
        <v>14</v>
      </c>
      <c r="L36" s="54"/>
      <c r="M36" s="54"/>
      <c r="N36" s="55" t="str">
        <f>B36</f>
        <v>WEISSWASSER</v>
      </c>
      <c r="O36" s="56"/>
      <c r="P36" s="57">
        <f>IF(H36&gt;I36,1,0)+IF(J36&gt;K36,1,0)+IF(L36&gt;M36,1,0)</f>
        <v>2</v>
      </c>
      <c r="Q36" s="58">
        <f>IF(I36&gt;H36,1,0)+IF(K36&gt;J36,1,0)+IF(M36&gt;L36,1,0)</f>
        <v>0</v>
      </c>
      <c r="R36" s="59"/>
      <c r="S36" s="57">
        <f>H36+J36+L36</f>
        <v>50</v>
      </c>
      <c r="T36" s="60">
        <f>I36+K36+M36</f>
        <v>33</v>
      </c>
      <c r="U36" s="61"/>
      <c r="V36" s="62" t="str">
        <f>B35</f>
        <v>HÖCHST 2</v>
      </c>
    </row>
    <row r="37" spans="1:33" ht="20.100000000000001" customHeight="1" x14ac:dyDescent="0.3">
      <c r="Y37" s="70"/>
      <c r="Z37" s="70"/>
      <c r="AA37" s="70"/>
      <c r="AB37" s="70"/>
      <c r="AC37" s="70"/>
      <c r="AD37" s="70"/>
      <c r="AE37" s="70"/>
      <c r="AF37" s="70"/>
    </row>
    <row r="38" spans="1:33" ht="20.100000000000001" customHeight="1" thickBot="1" x14ac:dyDescent="0.4">
      <c r="F38" s="13" t="s">
        <v>45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33" ht="20.100000000000001" customHeight="1" thickBot="1" x14ac:dyDescent="0.35">
      <c r="F39" s="14" t="s">
        <v>4</v>
      </c>
      <c r="G39" s="15" t="s">
        <v>46</v>
      </c>
      <c r="H39" s="16"/>
      <c r="I39" s="16"/>
      <c r="J39" s="16"/>
      <c r="K39" s="16"/>
      <c r="L39" s="16"/>
      <c r="M39" s="16"/>
      <c r="N39" s="16"/>
      <c r="O39" s="17"/>
      <c r="P39" s="18" t="s">
        <v>6</v>
      </c>
      <c r="Q39" s="19"/>
      <c r="R39" s="20"/>
      <c r="S39" s="18" t="s">
        <v>7</v>
      </c>
      <c r="T39" s="63"/>
      <c r="U39" s="22"/>
      <c r="V39" s="23" t="s">
        <v>8</v>
      </c>
      <c r="Z39" s="24" t="s">
        <v>9</v>
      </c>
      <c r="AA39" s="24" t="s">
        <v>10</v>
      </c>
      <c r="AB39" s="24" t="s">
        <v>11</v>
      </c>
      <c r="AC39" s="24" t="s">
        <v>12</v>
      </c>
      <c r="AD39" s="24" t="s">
        <v>13</v>
      </c>
      <c r="AE39" s="24" t="s">
        <v>14</v>
      </c>
      <c r="AF39" s="24" t="s">
        <v>15</v>
      </c>
    </row>
    <row r="40" spans="1:33" ht="20.100000000000001" customHeight="1" x14ac:dyDescent="0.3">
      <c r="A40" s="64"/>
      <c r="B40" s="26" t="s">
        <v>47</v>
      </c>
      <c r="F40" s="27"/>
      <c r="G40" s="28"/>
      <c r="H40" s="29" t="s">
        <v>17</v>
      </c>
      <c r="I40" s="30"/>
      <c r="J40" s="29" t="s">
        <v>18</v>
      </c>
      <c r="K40" s="30"/>
      <c r="L40" s="29" t="s">
        <v>19</v>
      </c>
      <c r="M40" s="30"/>
      <c r="N40" s="28"/>
      <c r="O40" s="31"/>
      <c r="P40" s="32"/>
      <c r="Q40" s="33"/>
      <c r="R40" s="34"/>
      <c r="S40" s="32"/>
      <c r="T40" s="66"/>
      <c r="U40" s="36"/>
      <c r="V40" s="37"/>
      <c r="Y40" s="38" t="str">
        <f>B41</f>
        <v>ENSISHEIM</v>
      </c>
      <c r="Z40">
        <f>+IF(P41&gt;Q41,2,1)+IF(P43&gt;Q43,2,1)</f>
        <v>3</v>
      </c>
      <c r="AA40">
        <f>+P41+P43</f>
        <v>3</v>
      </c>
      <c r="AB40">
        <f>+Q41+Q43</f>
        <v>2</v>
      </c>
      <c r="AC40" s="39">
        <f>IF(AB40=0,"MAX",AA40/AB40)</f>
        <v>1.5</v>
      </c>
      <c r="AD40">
        <f>+S41+S43</f>
        <v>100</v>
      </c>
      <c r="AE40">
        <f>+T41+T43</f>
        <v>86</v>
      </c>
      <c r="AF40" s="39">
        <f>IF(AE40=0,"MAX",AD40/AE40)</f>
        <v>1.1627906976744187</v>
      </c>
    </row>
    <row r="41" spans="1:33" ht="20.100000000000001" customHeight="1" x14ac:dyDescent="0.3">
      <c r="A41" s="25">
        <v>1</v>
      </c>
      <c r="B41" s="38" t="s">
        <v>48</v>
      </c>
      <c r="F41" s="40" t="s">
        <v>21</v>
      </c>
      <c r="G41" s="41" t="str">
        <f>B41</f>
        <v>ENSISHEIM</v>
      </c>
      <c r="H41" s="42">
        <v>25</v>
      </c>
      <c r="I41" s="42">
        <v>10</v>
      </c>
      <c r="J41" s="42">
        <v>25</v>
      </c>
      <c r="K41" s="42">
        <v>14</v>
      </c>
      <c r="L41" s="42"/>
      <c r="M41" s="42"/>
      <c r="N41" s="43" t="str">
        <f>B42</f>
        <v>CD 21</v>
      </c>
      <c r="O41" s="31"/>
      <c r="P41" s="38">
        <f>IF(H41&gt;I41,1,0)+IF(J41&gt;K41,1,0)+IF(L41&gt;M41,1,0)</f>
        <v>2</v>
      </c>
      <c r="Q41" s="44">
        <f>IF(I41&gt;H41,1,0)+IF(K41&gt;J41,1,0)+IF(M41&gt;L41,1,0)</f>
        <v>0</v>
      </c>
      <c r="R41" s="45"/>
      <c r="S41" s="38">
        <f>H41+J41+L41</f>
        <v>50</v>
      </c>
      <c r="T41" s="46">
        <f>I41+K41+M41</f>
        <v>24</v>
      </c>
      <c r="U41" s="36"/>
      <c r="V41" s="47" t="str">
        <f>B43</f>
        <v>AACHEN</v>
      </c>
      <c r="Y41" s="44" t="str">
        <f>B42</f>
        <v>CD 21</v>
      </c>
      <c r="Z41">
        <f>+IF(Q41&gt;P41,2,1)+IF(P42&gt;Q42,2,1)</f>
        <v>2</v>
      </c>
      <c r="AA41">
        <f>+Q41+P42</f>
        <v>0</v>
      </c>
      <c r="AB41">
        <f>+P41+Q42</f>
        <v>4</v>
      </c>
      <c r="AC41" s="39">
        <f t="shared" ref="AC41:AC42" si="15">IF(AB41=0,"MAX",AA41/AB41)</f>
        <v>0</v>
      </c>
      <c r="AD41">
        <f>+T41+S42</f>
        <v>36</v>
      </c>
      <c r="AE41">
        <f>+S41+T42</f>
        <v>100</v>
      </c>
      <c r="AF41" s="39">
        <f t="shared" ref="AF41:AF42" si="16">IF(AE41=0,"MAX",AD41/AE41)</f>
        <v>0.36</v>
      </c>
    </row>
    <row r="42" spans="1:33" ht="20.100000000000001" customHeight="1" thickBot="1" x14ac:dyDescent="0.35">
      <c r="A42" s="25">
        <v>2</v>
      </c>
      <c r="B42" s="44" t="s">
        <v>49</v>
      </c>
      <c r="F42" s="40" t="s">
        <v>25</v>
      </c>
      <c r="G42" s="43" t="str">
        <f>B42</f>
        <v>CD 21</v>
      </c>
      <c r="H42" s="42">
        <v>6</v>
      </c>
      <c r="I42" s="42">
        <v>25</v>
      </c>
      <c r="J42" s="42">
        <v>6</v>
      </c>
      <c r="K42" s="42">
        <v>25</v>
      </c>
      <c r="L42" s="42"/>
      <c r="M42" s="42"/>
      <c r="N42" s="48" t="str">
        <f>B43</f>
        <v>AACHEN</v>
      </c>
      <c r="O42" s="56"/>
      <c r="P42" s="67">
        <f t="shared" ref="P42" si="17">IF(H42&gt;I42,1,0)+IF(J42&gt;K42,1,0)+IF(L42&gt;M42,1,0)</f>
        <v>0</v>
      </c>
      <c r="Q42" s="58">
        <f t="shared" ref="Q42" si="18">IF(I42&gt;H42,1,0)+IF(K42&gt;J42,1,0)+IF(M42&gt;L42,1,0)</f>
        <v>2</v>
      </c>
      <c r="R42" s="59"/>
      <c r="S42" s="67">
        <f t="shared" ref="S42:T42" si="19">H42+J42+L42</f>
        <v>12</v>
      </c>
      <c r="T42" s="60">
        <f t="shared" si="19"/>
        <v>50</v>
      </c>
      <c r="U42" s="61"/>
      <c r="V42" s="47" t="str">
        <f>B41</f>
        <v>ENSISHEIM</v>
      </c>
      <c r="Y42" s="51" t="str">
        <f>B43</f>
        <v>AACHEN</v>
      </c>
      <c r="Z42">
        <f>+IF(Q43&gt;P43,2,1)+IF(Q42&gt;P42,2,1)</f>
        <v>4</v>
      </c>
      <c r="AA42">
        <f>+Q43+Q42</f>
        <v>4</v>
      </c>
      <c r="AB42">
        <f>+P43+P42</f>
        <v>1</v>
      </c>
      <c r="AC42" s="39">
        <f t="shared" si="15"/>
        <v>4</v>
      </c>
      <c r="AD42">
        <f>+T43+T42</f>
        <v>112</v>
      </c>
      <c r="AE42">
        <f>+S43+S42</f>
        <v>62</v>
      </c>
      <c r="AF42" s="39">
        <f t="shared" si="16"/>
        <v>1.8064516129032258</v>
      </c>
    </row>
    <row r="43" spans="1:33" ht="20.100000000000001" customHeight="1" thickBot="1" x14ac:dyDescent="0.35">
      <c r="A43" s="74">
        <v>3</v>
      </c>
      <c r="B43" s="75" t="s">
        <v>50</v>
      </c>
      <c r="F43" s="68" t="s">
        <v>32</v>
      </c>
      <c r="G43" s="53" t="str">
        <f>B41</f>
        <v>ENSISHEIM</v>
      </c>
      <c r="H43" s="54">
        <v>17</v>
      </c>
      <c r="I43" s="54">
        <v>25</v>
      </c>
      <c r="J43" s="54">
        <v>25</v>
      </c>
      <c r="K43" s="54">
        <v>22</v>
      </c>
      <c r="L43" s="54">
        <v>8</v>
      </c>
      <c r="M43" s="54">
        <v>15</v>
      </c>
      <c r="N43" s="55" t="str">
        <f>B43</f>
        <v>AACHEN</v>
      </c>
      <c r="O43" s="56"/>
      <c r="P43" s="57">
        <f>IF(H43&gt;I43,1,0)+IF(J43&gt;K43,1,0)+IF(L43&gt;M43,1,0)</f>
        <v>1</v>
      </c>
      <c r="Q43" s="58">
        <f>IF(I43&gt;H43,1,0)+IF(K43&gt;J43,1,0)+IF(M43&gt;L43,1,0)</f>
        <v>2</v>
      </c>
      <c r="R43" s="59"/>
      <c r="S43" s="57">
        <f>H43+J43+L43</f>
        <v>50</v>
      </c>
      <c r="T43" s="60">
        <f>I43+K43+M43</f>
        <v>62</v>
      </c>
      <c r="U43" s="61"/>
      <c r="V43" s="62" t="str">
        <f>B42</f>
        <v>CD 21</v>
      </c>
    </row>
    <row r="44" spans="1:33" ht="20.100000000000001" customHeight="1" x14ac:dyDescent="0.3">
      <c r="A44" s="69"/>
      <c r="B44" s="69"/>
      <c r="C44" s="70"/>
      <c r="D44" s="70"/>
      <c r="E44" s="70"/>
      <c r="F44" s="71"/>
      <c r="G44" s="72"/>
      <c r="H44" s="72"/>
      <c r="I44" s="72"/>
      <c r="J44" s="72"/>
      <c r="K44" s="72"/>
      <c r="L44" s="72"/>
      <c r="M44" s="72"/>
      <c r="N44" s="72"/>
      <c r="O44" s="71"/>
      <c r="P44" s="69"/>
      <c r="Q44" s="69"/>
      <c r="R44" s="69"/>
      <c r="S44" s="69"/>
      <c r="T44" s="69"/>
      <c r="U44" s="71"/>
      <c r="V44" s="73"/>
      <c r="X44" s="70"/>
      <c r="Y44" s="69"/>
      <c r="Z44" s="70"/>
      <c r="AA44" s="70"/>
      <c r="AB44" s="70"/>
      <c r="AC44" s="76"/>
      <c r="AD44" s="70"/>
      <c r="AE44" s="70"/>
      <c r="AF44" s="76"/>
      <c r="AG44" s="70"/>
    </row>
    <row r="45" spans="1:33" ht="20.100000000000001" customHeight="1" thickBot="1" x14ac:dyDescent="0.4">
      <c r="F45" s="13" t="s">
        <v>51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70"/>
      <c r="Y45" s="69"/>
      <c r="Z45" s="70"/>
      <c r="AA45" s="70"/>
      <c r="AB45" s="70"/>
      <c r="AC45" s="76"/>
      <c r="AD45" s="70"/>
      <c r="AE45" s="70"/>
      <c r="AF45" s="76"/>
      <c r="AG45" s="70"/>
    </row>
    <row r="46" spans="1:33" ht="20.100000000000001" customHeight="1" thickBot="1" x14ac:dyDescent="0.35">
      <c r="F46" s="14" t="s">
        <v>4</v>
      </c>
      <c r="G46" s="15" t="s">
        <v>52</v>
      </c>
      <c r="H46" s="16"/>
      <c r="I46" s="16"/>
      <c r="J46" s="16"/>
      <c r="K46" s="16"/>
      <c r="L46" s="16"/>
      <c r="M46" s="16"/>
      <c r="N46" s="16"/>
      <c r="O46" s="17"/>
      <c r="P46" s="18" t="s">
        <v>6</v>
      </c>
      <c r="Q46" s="19"/>
      <c r="R46" s="20"/>
      <c r="S46" s="18" t="s">
        <v>7</v>
      </c>
      <c r="T46" s="21"/>
      <c r="U46" s="22"/>
      <c r="V46" s="23" t="s">
        <v>8</v>
      </c>
      <c r="X46" s="70"/>
      <c r="Z46" s="24" t="s">
        <v>9</v>
      </c>
      <c r="AA46" s="24" t="s">
        <v>10</v>
      </c>
      <c r="AB46" s="24" t="s">
        <v>11</v>
      </c>
      <c r="AC46" s="24" t="s">
        <v>12</v>
      </c>
      <c r="AD46" s="24" t="s">
        <v>13</v>
      </c>
      <c r="AE46" s="24" t="s">
        <v>14</v>
      </c>
      <c r="AF46" s="24" t="s">
        <v>15</v>
      </c>
      <c r="AG46" s="70"/>
    </row>
    <row r="47" spans="1:33" ht="20.100000000000001" customHeight="1" x14ac:dyDescent="0.3">
      <c r="A47" s="25"/>
      <c r="B47" s="26" t="s">
        <v>53</v>
      </c>
      <c r="F47" s="27"/>
      <c r="G47" s="28"/>
      <c r="H47" s="29" t="s">
        <v>17</v>
      </c>
      <c r="I47" s="30"/>
      <c r="J47" s="29" t="s">
        <v>18</v>
      </c>
      <c r="K47" s="30"/>
      <c r="L47" s="29" t="s">
        <v>19</v>
      </c>
      <c r="M47" s="30"/>
      <c r="N47" s="28"/>
      <c r="O47" s="31"/>
      <c r="P47" s="32"/>
      <c r="Q47" s="33"/>
      <c r="R47" s="34"/>
      <c r="S47" s="32"/>
      <c r="T47" s="35"/>
      <c r="U47" s="36"/>
      <c r="V47" s="37"/>
      <c r="X47" s="70"/>
      <c r="Y47" s="38" t="str">
        <f>B48</f>
        <v>ZANDHOVEN 1</v>
      </c>
      <c r="Z47">
        <f>+IF(P48&gt;Q48,2,1)+IF(P50&gt;Q50,2,1)</f>
        <v>4</v>
      </c>
      <c r="AA47">
        <f>+P48+P50</f>
        <v>4</v>
      </c>
      <c r="AB47">
        <f>+Q48+Q50</f>
        <v>0</v>
      </c>
      <c r="AC47" s="39" t="str">
        <f>IF(AB47=0,"MAX",AA47/AB47)</f>
        <v>MAX</v>
      </c>
      <c r="AD47">
        <f>+S48+S50</f>
        <v>100</v>
      </c>
      <c r="AE47">
        <f>+T48+T50</f>
        <v>30</v>
      </c>
      <c r="AF47" s="39">
        <f>IF(AE47=0,"MAX",AD47/AE47)</f>
        <v>3.3333333333333335</v>
      </c>
      <c r="AG47" s="70"/>
    </row>
    <row r="48" spans="1:33" ht="20.100000000000001" customHeight="1" x14ac:dyDescent="0.3">
      <c r="A48" s="25">
        <v>1</v>
      </c>
      <c r="B48" s="38" t="s">
        <v>54</v>
      </c>
      <c r="F48" s="40" t="s">
        <v>21</v>
      </c>
      <c r="G48" s="41" t="str">
        <f>B48</f>
        <v>ZANDHOVEN 1</v>
      </c>
      <c r="H48" s="42">
        <v>25</v>
      </c>
      <c r="I48" s="42">
        <v>6</v>
      </c>
      <c r="J48" s="42">
        <v>25</v>
      </c>
      <c r="K48" s="42">
        <v>7</v>
      </c>
      <c r="L48" s="42"/>
      <c r="M48" s="42"/>
      <c r="N48" s="43" t="str">
        <f>B49</f>
        <v>YUTZ 2</v>
      </c>
      <c r="O48" s="31"/>
      <c r="P48" s="38">
        <f>IF(H48&gt;I48,1,0)+IF(J48&gt;K48,1,0)+IF(L48&gt;M48,1,0)</f>
        <v>2</v>
      </c>
      <c r="Q48" s="44">
        <f>IF(I48&gt;H48,1,0)+IF(K48&gt;J48,1,0)+IF(M48&gt;L48,1,0)</f>
        <v>0</v>
      </c>
      <c r="R48" s="45"/>
      <c r="S48" s="38">
        <f>H48+J48+L48</f>
        <v>50</v>
      </c>
      <c r="T48" s="46">
        <f>I48+K48+M48</f>
        <v>13</v>
      </c>
      <c r="U48" s="36"/>
      <c r="V48" s="47" t="str">
        <f>B50</f>
        <v>BELFORT</v>
      </c>
      <c r="X48" s="70"/>
      <c r="Y48" s="44" t="str">
        <f>B49</f>
        <v>YUTZ 2</v>
      </c>
      <c r="Z48">
        <f>+IF(Q48&gt;P48,2,1)+IF(P49&gt;Q49,2,1)</f>
        <v>3</v>
      </c>
      <c r="AA48">
        <f>+Q48+P49</f>
        <v>2</v>
      </c>
      <c r="AB48">
        <f>+P48+Q49</f>
        <v>2</v>
      </c>
      <c r="AC48" s="39">
        <f>IF(AB48=0,"MAX",AA48/AB48)</f>
        <v>1</v>
      </c>
      <c r="AD48">
        <f>+T48+S49</f>
        <v>65</v>
      </c>
      <c r="AE48">
        <f>+S48+T49</f>
        <v>94</v>
      </c>
      <c r="AF48" s="39">
        <f>IF(AE48=0,"MAX",AD48/AE48)</f>
        <v>0.69148936170212771</v>
      </c>
      <c r="AG48" s="70"/>
    </row>
    <row r="49" spans="1:33" ht="20.100000000000001" customHeight="1" x14ac:dyDescent="0.3">
      <c r="A49" s="25">
        <v>2</v>
      </c>
      <c r="B49" s="44" t="s">
        <v>55</v>
      </c>
      <c r="F49" s="40" t="s">
        <v>25</v>
      </c>
      <c r="G49" s="43" t="str">
        <f>B49</f>
        <v>YUTZ 2</v>
      </c>
      <c r="H49" s="42">
        <v>25</v>
      </c>
      <c r="I49" s="42">
        <v>19</v>
      </c>
      <c r="J49" s="42">
        <v>27</v>
      </c>
      <c r="K49" s="42">
        <v>25</v>
      </c>
      <c r="L49" s="42"/>
      <c r="M49" s="42"/>
      <c r="N49" s="48" t="str">
        <f>B50</f>
        <v>BELFORT</v>
      </c>
      <c r="O49" s="31"/>
      <c r="P49" s="44">
        <f t="shared" ref="P49" si="20">IF(H49&gt;I49,1,0)+IF(J49&gt;K49,1,0)+IF(L49&gt;M49,1,0)</f>
        <v>2</v>
      </c>
      <c r="Q49" s="49">
        <f t="shared" ref="Q49" si="21">IF(I49&gt;H49,1,0)+IF(K49&gt;J49,1,0)+IF(M49&gt;L49,1,0)</f>
        <v>0</v>
      </c>
      <c r="R49" s="45"/>
      <c r="S49" s="44">
        <f t="shared" ref="S49:T49" si="22">H49+J49+L49</f>
        <v>52</v>
      </c>
      <c r="T49" s="50">
        <f t="shared" si="22"/>
        <v>44</v>
      </c>
      <c r="U49" s="36"/>
      <c r="V49" s="47" t="str">
        <f>B48</f>
        <v>ZANDHOVEN 1</v>
      </c>
      <c r="X49" s="70"/>
      <c r="Y49" s="51" t="str">
        <f>B50</f>
        <v>BELFORT</v>
      </c>
      <c r="Z49">
        <f>+IF(Q49&gt;P49,2,1)+IF(Q50&gt;P50,2,1)</f>
        <v>2</v>
      </c>
      <c r="AA49">
        <f>+Q49+Q50</f>
        <v>0</v>
      </c>
      <c r="AB49">
        <f>+P49+P50</f>
        <v>4</v>
      </c>
      <c r="AC49" s="39">
        <f>IF(AB49=0,"MAX",AA49/AB49)</f>
        <v>0</v>
      </c>
      <c r="AD49">
        <f>+T49+T50</f>
        <v>61</v>
      </c>
      <c r="AE49">
        <f>+S49+S50</f>
        <v>102</v>
      </c>
      <c r="AF49" s="39">
        <f>IF(AE49=0,"MAX",AD49/AE49)</f>
        <v>0.59803921568627449</v>
      </c>
      <c r="AG49" s="70"/>
    </row>
    <row r="50" spans="1:33" ht="20.100000000000001" customHeight="1" thickBot="1" x14ac:dyDescent="0.35">
      <c r="A50" s="25">
        <v>3</v>
      </c>
      <c r="B50" s="51" t="s">
        <v>56</v>
      </c>
      <c r="F50" s="68" t="s">
        <v>32</v>
      </c>
      <c r="G50" s="53" t="str">
        <f>B48</f>
        <v>ZANDHOVEN 1</v>
      </c>
      <c r="H50" s="54">
        <v>25</v>
      </c>
      <c r="I50" s="54">
        <v>8</v>
      </c>
      <c r="J50" s="54">
        <v>25</v>
      </c>
      <c r="K50" s="54">
        <v>9</v>
      </c>
      <c r="L50" s="54"/>
      <c r="M50" s="54"/>
      <c r="N50" s="55" t="str">
        <f>B50</f>
        <v>BELFORT</v>
      </c>
      <c r="O50" s="56"/>
      <c r="P50" s="57">
        <f>IF(H50&gt;I50,1,0)+IF(J50&gt;K50,1,0)+IF(L50&gt;M50,1,0)</f>
        <v>2</v>
      </c>
      <c r="Q50" s="58">
        <f>IF(I50&gt;H50,1,0)+IF(K50&gt;J50,1,0)+IF(M50&gt;L50,1,0)</f>
        <v>0</v>
      </c>
      <c r="R50" s="59"/>
      <c r="S50" s="57">
        <f>H50+J50+L50</f>
        <v>50</v>
      </c>
      <c r="T50" s="60">
        <f>I50+K50+M50</f>
        <v>17</v>
      </c>
      <c r="U50" s="61"/>
      <c r="V50" s="62" t="str">
        <f>B49</f>
        <v>YUTZ 2</v>
      </c>
    </row>
    <row r="51" spans="1:33" ht="5.0999999999999996" customHeight="1" thickBot="1" x14ac:dyDescent="0.35"/>
    <row r="52" spans="1:33" ht="39.9" customHeight="1" x14ac:dyDescent="0.3">
      <c r="F52" s="2" t="s"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  <c r="U52" s="71"/>
      <c r="V52" s="73"/>
    </row>
    <row r="53" spans="1:33" ht="39.9" customHeight="1" x14ac:dyDescent="0.3">
      <c r="F53" s="6" t="s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  <c r="U53" s="71"/>
      <c r="V53" s="73"/>
    </row>
    <row r="54" spans="1:33" ht="30" customHeight="1" thickBot="1" x14ac:dyDescent="0.35">
      <c r="F54" s="9" t="s">
        <v>2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/>
      <c r="U54" s="71"/>
      <c r="V54" s="73"/>
    </row>
    <row r="55" spans="1:33" ht="20.100000000000001" customHeight="1" x14ac:dyDescent="0.4">
      <c r="V55" s="12"/>
    </row>
    <row r="56" spans="1:33" ht="20.100000000000001" customHeight="1" thickBot="1" x14ac:dyDescent="0.4">
      <c r="F56" s="13" t="s">
        <v>57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33" ht="20.100000000000001" customHeight="1" thickBot="1" x14ac:dyDescent="0.35">
      <c r="F57" s="14" t="s">
        <v>4</v>
      </c>
      <c r="G57" s="15" t="s">
        <v>58</v>
      </c>
      <c r="H57" s="16"/>
      <c r="I57" s="16"/>
      <c r="J57" s="16"/>
      <c r="K57" s="16"/>
      <c r="L57" s="16"/>
      <c r="M57" s="16"/>
      <c r="N57" s="16"/>
      <c r="O57" s="17"/>
      <c r="P57" s="18" t="s">
        <v>6</v>
      </c>
      <c r="Q57" s="19"/>
      <c r="R57" s="20"/>
      <c r="S57" s="18" t="s">
        <v>7</v>
      </c>
      <c r="T57" s="21"/>
      <c r="U57" s="22"/>
      <c r="V57" s="23" t="s">
        <v>8</v>
      </c>
      <c r="Z57" s="24" t="s">
        <v>9</v>
      </c>
      <c r="AA57" s="24" t="s">
        <v>10</v>
      </c>
      <c r="AB57" s="24" t="s">
        <v>11</v>
      </c>
      <c r="AC57" s="24" t="s">
        <v>12</v>
      </c>
      <c r="AD57" s="24" t="s">
        <v>13</v>
      </c>
      <c r="AE57" s="24" t="s">
        <v>14</v>
      </c>
      <c r="AF57" s="24" t="s">
        <v>15</v>
      </c>
    </row>
    <row r="58" spans="1:33" ht="20.100000000000001" customHeight="1" x14ac:dyDescent="0.3">
      <c r="A58" s="25"/>
      <c r="B58" s="26" t="s">
        <v>59</v>
      </c>
      <c r="F58" s="27"/>
      <c r="G58" s="28"/>
      <c r="H58" s="29" t="s">
        <v>17</v>
      </c>
      <c r="I58" s="30"/>
      <c r="J58" s="29" t="s">
        <v>18</v>
      </c>
      <c r="K58" s="30"/>
      <c r="L58" s="29" t="s">
        <v>19</v>
      </c>
      <c r="M58" s="30"/>
      <c r="N58" s="28"/>
      <c r="O58" s="31"/>
      <c r="P58" s="32"/>
      <c r="Q58" s="33"/>
      <c r="R58" s="34"/>
      <c r="S58" s="32"/>
      <c r="T58" s="35"/>
      <c r="U58" s="36"/>
      <c r="V58" s="37"/>
      <c r="Y58" s="38" t="str">
        <f>B59</f>
        <v>CD 68-1</v>
      </c>
      <c r="Z58">
        <f>+IF(P59&gt;Q59,2,1)+IF(P61&gt;Q61,2,1)</f>
        <v>4</v>
      </c>
      <c r="AA58">
        <f>+P59+P61</f>
        <v>4</v>
      </c>
      <c r="AB58">
        <f>+Q59+Q61</f>
        <v>0</v>
      </c>
      <c r="AC58" s="39" t="str">
        <f>IF(AB58=0,"MAX",AA58/AB58)</f>
        <v>MAX</v>
      </c>
      <c r="AD58">
        <f>+S59+S61</f>
        <v>100</v>
      </c>
      <c r="AE58">
        <f>+T59+T61</f>
        <v>57</v>
      </c>
      <c r="AF58" s="39">
        <f>IF(AE58=0,"MAX",AD58/AE58)</f>
        <v>1.7543859649122806</v>
      </c>
    </row>
    <row r="59" spans="1:33" ht="20.100000000000001" customHeight="1" x14ac:dyDescent="0.3">
      <c r="A59" s="25">
        <v>1</v>
      </c>
      <c r="B59" s="38" t="s">
        <v>60</v>
      </c>
      <c r="F59" s="40" t="s">
        <v>21</v>
      </c>
      <c r="G59" s="41" t="str">
        <f>B59</f>
        <v>CD 68-1</v>
      </c>
      <c r="H59" s="42">
        <v>25</v>
      </c>
      <c r="I59" s="42">
        <v>14</v>
      </c>
      <c r="J59" s="42">
        <v>25</v>
      </c>
      <c r="K59" s="42">
        <v>10</v>
      </c>
      <c r="L59" s="42"/>
      <c r="M59" s="42"/>
      <c r="N59" s="43" t="str">
        <f>B60</f>
        <v>DORNBIRN 2</v>
      </c>
      <c r="O59" s="31"/>
      <c r="P59" s="38">
        <f>IF(H59&gt;I59,1,0)+IF(J59&gt;K59,1,0)+IF(L59&gt;M59,1,0)</f>
        <v>2</v>
      </c>
      <c r="Q59" s="44">
        <f>IF(I59&gt;H59,1,0)+IF(K59&gt;J59,1,0)+IF(M59&gt;L59,1,0)</f>
        <v>0</v>
      </c>
      <c r="R59" s="45"/>
      <c r="S59" s="38">
        <f>H59+J59+L59</f>
        <v>50</v>
      </c>
      <c r="T59" s="46">
        <f>I59+K59+M59</f>
        <v>24</v>
      </c>
      <c r="U59" s="36"/>
      <c r="V59" s="47" t="str">
        <f>B61</f>
        <v>LE TOUQUET</v>
      </c>
      <c r="Y59" s="44" t="str">
        <f>B60</f>
        <v>DORNBIRN 2</v>
      </c>
      <c r="Z59">
        <f>+IF(Q59&gt;P59,2,1)+IF(P60&gt;Q60,2,1)</f>
        <v>2</v>
      </c>
      <c r="AA59">
        <f>+Q59+P60</f>
        <v>0</v>
      </c>
      <c r="AB59">
        <f>+P59+Q60</f>
        <v>4</v>
      </c>
      <c r="AC59" s="39">
        <f>IF(AB59=0,"MAX",AA59/AB59)</f>
        <v>0</v>
      </c>
      <c r="AD59">
        <f>+T59+S60</f>
        <v>52</v>
      </c>
      <c r="AE59">
        <f>+S59+T60</f>
        <v>100</v>
      </c>
      <c r="AF59" s="39">
        <f>IF(AE59=0,"MAX",AD59/AE59)</f>
        <v>0.52</v>
      </c>
    </row>
    <row r="60" spans="1:33" ht="20.100000000000001" customHeight="1" x14ac:dyDescent="0.3">
      <c r="A60" s="25">
        <v>2</v>
      </c>
      <c r="B60" s="44" t="s">
        <v>61</v>
      </c>
      <c r="F60" s="40" t="s">
        <v>23</v>
      </c>
      <c r="G60" s="43" t="str">
        <f>B60</f>
        <v>DORNBIRN 2</v>
      </c>
      <c r="H60" s="42">
        <v>12</v>
      </c>
      <c r="I60" s="42">
        <v>25</v>
      </c>
      <c r="J60" s="42">
        <v>16</v>
      </c>
      <c r="K60" s="42">
        <v>25</v>
      </c>
      <c r="L60" s="42"/>
      <c r="M60" s="42"/>
      <c r="N60" s="48" t="str">
        <f>B61</f>
        <v>LE TOUQUET</v>
      </c>
      <c r="O60" s="31"/>
      <c r="P60" s="44">
        <f t="shared" ref="P60" si="23">IF(H60&gt;I60,1,0)+IF(J60&gt;K60,1,0)+IF(L60&gt;M60,1,0)</f>
        <v>0</v>
      </c>
      <c r="Q60" s="49">
        <f t="shared" ref="Q60" si="24">IF(I60&gt;H60,1,0)+IF(K60&gt;J60,1,0)+IF(M60&gt;L60,1,0)</f>
        <v>2</v>
      </c>
      <c r="R60" s="45"/>
      <c r="S60" s="44">
        <f t="shared" ref="S60:T60" si="25">H60+J60+L60</f>
        <v>28</v>
      </c>
      <c r="T60" s="50">
        <f t="shared" si="25"/>
        <v>50</v>
      </c>
      <c r="U60" s="36"/>
      <c r="V60" s="47" t="str">
        <f>B59</f>
        <v>CD 68-1</v>
      </c>
      <c r="Y60" s="51" t="str">
        <f>B61</f>
        <v>LE TOUQUET</v>
      </c>
      <c r="Z60">
        <f>+IF(Q60&gt;P60,2,1)+IF(Q61&gt;P61,2,1)</f>
        <v>3</v>
      </c>
      <c r="AA60">
        <f>+Q60+Q61</f>
        <v>2</v>
      </c>
      <c r="AB60">
        <f>+P60+P61</f>
        <v>2</v>
      </c>
      <c r="AC60" s="39">
        <f>IF(AB60=0,"MAX",AA60/AB60)</f>
        <v>1</v>
      </c>
      <c r="AD60">
        <f>+T60+T61</f>
        <v>83</v>
      </c>
      <c r="AE60">
        <f>+S60+S61</f>
        <v>78</v>
      </c>
      <c r="AF60" s="39">
        <f>IF(AE60=0,"MAX",AD60/AE60)</f>
        <v>1.0641025641025641</v>
      </c>
    </row>
    <row r="61" spans="1:33" ht="20.100000000000001" customHeight="1" thickBot="1" x14ac:dyDescent="0.35">
      <c r="A61" s="25">
        <v>3</v>
      </c>
      <c r="B61" s="51" t="s">
        <v>62</v>
      </c>
      <c r="F61" s="52" t="s">
        <v>25</v>
      </c>
      <c r="G61" s="53" t="str">
        <f>B59</f>
        <v>CD 68-1</v>
      </c>
      <c r="H61" s="54">
        <v>25</v>
      </c>
      <c r="I61" s="54">
        <v>15</v>
      </c>
      <c r="J61" s="54">
        <v>25</v>
      </c>
      <c r="K61" s="54">
        <v>18</v>
      </c>
      <c r="L61" s="54"/>
      <c r="M61" s="54"/>
      <c r="N61" s="55" t="str">
        <f>B61</f>
        <v>LE TOUQUET</v>
      </c>
      <c r="O61" s="56"/>
      <c r="P61" s="57">
        <f>IF(H61&gt;I61,1,0)+IF(J61&gt;K61,1,0)+IF(L61&gt;M61,1,0)</f>
        <v>2</v>
      </c>
      <c r="Q61" s="58">
        <f>IF(I61&gt;H61,1,0)+IF(K61&gt;J61,1,0)+IF(M61&gt;L61,1,0)</f>
        <v>0</v>
      </c>
      <c r="R61" s="59"/>
      <c r="S61" s="57">
        <f>H61+J61+L61</f>
        <v>50</v>
      </c>
      <c r="T61" s="60">
        <f>I61+K61+M61</f>
        <v>33</v>
      </c>
      <c r="U61" s="61"/>
      <c r="V61" s="62" t="str">
        <f>B60</f>
        <v>DORNBIRN 2</v>
      </c>
    </row>
    <row r="62" spans="1:33" ht="20.100000000000001" customHeight="1" x14ac:dyDescent="0.4">
      <c r="V62" s="12"/>
    </row>
    <row r="63" spans="1:33" ht="20.100000000000001" customHeight="1" thickBot="1" x14ac:dyDescent="0.4">
      <c r="F63" s="13" t="s">
        <v>63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33" ht="20.100000000000001" customHeight="1" thickBot="1" x14ac:dyDescent="0.35">
      <c r="F64" s="14" t="s">
        <v>4</v>
      </c>
      <c r="G64" s="15" t="s">
        <v>64</v>
      </c>
      <c r="H64" s="16"/>
      <c r="I64" s="16"/>
      <c r="J64" s="16"/>
      <c r="K64" s="16"/>
      <c r="L64" s="16"/>
      <c r="M64" s="16"/>
      <c r="N64" s="16"/>
      <c r="O64" s="17"/>
      <c r="P64" s="18" t="s">
        <v>6</v>
      </c>
      <c r="Q64" s="19"/>
      <c r="R64" s="20"/>
      <c r="S64" s="18" t="s">
        <v>7</v>
      </c>
      <c r="T64" s="63"/>
      <c r="U64" s="22"/>
      <c r="V64" s="23" t="s">
        <v>8</v>
      </c>
      <c r="Z64" s="24" t="s">
        <v>9</v>
      </c>
      <c r="AA64" s="24" t="s">
        <v>10</v>
      </c>
      <c r="AB64" s="24" t="s">
        <v>11</v>
      </c>
      <c r="AC64" s="24" t="s">
        <v>12</v>
      </c>
      <c r="AD64" s="24" t="s">
        <v>13</v>
      </c>
      <c r="AE64" s="24" t="s">
        <v>14</v>
      </c>
      <c r="AF64" s="24" t="s">
        <v>15</v>
      </c>
    </row>
    <row r="65" spans="1:32" ht="20.100000000000001" customHeight="1" x14ac:dyDescent="0.3">
      <c r="A65" s="64"/>
      <c r="B65" s="26" t="s">
        <v>65</v>
      </c>
      <c r="F65" s="27"/>
      <c r="G65" s="28"/>
      <c r="H65" s="29" t="s">
        <v>17</v>
      </c>
      <c r="I65" s="30"/>
      <c r="J65" s="29" t="s">
        <v>18</v>
      </c>
      <c r="K65" s="30"/>
      <c r="L65" s="29" t="s">
        <v>19</v>
      </c>
      <c r="M65" s="30"/>
      <c r="N65" s="28"/>
      <c r="O65" s="31"/>
      <c r="P65" s="32"/>
      <c r="Q65" s="33"/>
      <c r="R65" s="34"/>
      <c r="S65" s="32"/>
      <c r="T65" s="66"/>
      <c r="U65" s="36"/>
      <c r="V65" s="37"/>
      <c r="Y65" s="38" t="str">
        <f>B66</f>
        <v>HÖCHST 1</v>
      </c>
      <c r="Z65">
        <f>+IF(P66&gt;Q66,2,1)+IF(P68&gt;Q68,2,1)</f>
        <v>4</v>
      </c>
      <c r="AA65">
        <f>+P66+P68</f>
        <v>4</v>
      </c>
      <c r="AB65">
        <f>+Q66+Q68</f>
        <v>0</v>
      </c>
      <c r="AC65" s="39" t="str">
        <f>IF(AB65=0,"MAX",AA65/AB65)</f>
        <v>MAX</v>
      </c>
      <c r="AD65">
        <f>+S66+S68</f>
        <v>100</v>
      </c>
      <c r="AE65">
        <f>+T66+T68</f>
        <v>37</v>
      </c>
      <c r="AF65" s="39">
        <f>IF(AE65=0,"MAX",AD65/AE65)</f>
        <v>2.7027027027027026</v>
      </c>
    </row>
    <row r="66" spans="1:32" ht="20.100000000000001" customHeight="1" x14ac:dyDescent="0.3">
      <c r="A66" s="25">
        <v>1</v>
      </c>
      <c r="B66" s="38" t="s">
        <v>66</v>
      </c>
      <c r="F66" s="40" t="s">
        <v>21</v>
      </c>
      <c r="G66" s="41" t="str">
        <f>B66</f>
        <v>HÖCHST 1</v>
      </c>
      <c r="H66" s="42">
        <v>25</v>
      </c>
      <c r="I66" s="42">
        <v>10</v>
      </c>
      <c r="J66" s="42">
        <v>25</v>
      </c>
      <c r="K66" s="42">
        <v>8</v>
      </c>
      <c r="L66" s="42"/>
      <c r="M66" s="42"/>
      <c r="N66" s="43" t="str">
        <f>B67</f>
        <v>THIMISTER 3</v>
      </c>
      <c r="O66" s="31"/>
      <c r="P66" s="38">
        <f>IF(H66&gt;I66,1,0)+IF(J66&gt;K66,1,0)+IF(L66&gt;M66,1,0)</f>
        <v>2</v>
      </c>
      <c r="Q66" s="44">
        <f>IF(I66&gt;H66,1,0)+IF(K66&gt;J66,1,0)+IF(M66&gt;L66,1,0)</f>
        <v>0</v>
      </c>
      <c r="R66" s="45"/>
      <c r="S66" s="38">
        <f>H66+J66+L66</f>
        <v>50</v>
      </c>
      <c r="T66" s="46">
        <f>I66+K66+M66</f>
        <v>18</v>
      </c>
      <c r="U66" s="36"/>
      <c r="V66" s="47" t="str">
        <f>B68</f>
        <v>AUBAGNE</v>
      </c>
      <c r="Y66" s="44" t="str">
        <f>B67</f>
        <v>THIMISTER 3</v>
      </c>
      <c r="Z66">
        <f>+IF(Q66&gt;P66,2,1)+IF(P67&gt;Q67,2,1)</f>
        <v>2</v>
      </c>
      <c r="AA66">
        <f>+Q66+P67</f>
        <v>0</v>
      </c>
      <c r="AB66">
        <f>+P66+Q67</f>
        <v>4</v>
      </c>
      <c r="AC66" s="39">
        <f t="shared" ref="AC66:AC67" si="26">IF(AB66=0,"MAX",AA66/AB66)</f>
        <v>0</v>
      </c>
      <c r="AD66">
        <f>+T66+S67</f>
        <v>47</v>
      </c>
      <c r="AE66">
        <f>+S66+T67</f>
        <v>100</v>
      </c>
      <c r="AF66" s="39">
        <f t="shared" ref="AF66:AF67" si="27">IF(AE66=0,"MAX",AD66/AE66)</f>
        <v>0.47</v>
      </c>
    </row>
    <row r="67" spans="1:32" ht="20.100000000000001" customHeight="1" thickBot="1" x14ac:dyDescent="0.35">
      <c r="A67" s="25">
        <v>2</v>
      </c>
      <c r="B67" s="44" t="s">
        <v>67</v>
      </c>
      <c r="F67" s="40" t="s">
        <v>25</v>
      </c>
      <c r="G67" s="43" t="str">
        <f>B67</f>
        <v>THIMISTER 3</v>
      </c>
      <c r="H67" s="42">
        <v>15</v>
      </c>
      <c r="I67" s="42">
        <v>25</v>
      </c>
      <c r="J67" s="42">
        <v>14</v>
      </c>
      <c r="K67" s="42">
        <v>25</v>
      </c>
      <c r="L67" s="42"/>
      <c r="M67" s="42"/>
      <c r="N67" s="48" t="str">
        <f>B68</f>
        <v>AUBAGNE</v>
      </c>
      <c r="O67" s="56"/>
      <c r="P67" s="67">
        <f t="shared" ref="P67" si="28">IF(H67&gt;I67,1,0)+IF(J67&gt;K67,1,0)+IF(L67&gt;M67,1,0)</f>
        <v>0</v>
      </c>
      <c r="Q67" s="58">
        <f t="shared" ref="Q67" si="29">IF(I67&gt;H67,1,0)+IF(K67&gt;J67,1,0)+IF(M67&gt;L67,1,0)</f>
        <v>2</v>
      </c>
      <c r="R67" s="59"/>
      <c r="S67" s="67">
        <f t="shared" ref="S67:T67" si="30">H67+J67+L67</f>
        <v>29</v>
      </c>
      <c r="T67" s="60">
        <f t="shared" si="30"/>
        <v>50</v>
      </c>
      <c r="U67" s="61"/>
      <c r="V67" s="47" t="str">
        <f>B66</f>
        <v>HÖCHST 1</v>
      </c>
      <c r="Y67" s="51" t="str">
        <f>B68</f>
        <v>AUBAGNE</v>
      </c>
      <c r="Z67">
        <f>+IF(Q68&gt;P68,2,1)+IF(Q67&gt;P67,2,1)</f>
        <v>3</v>
      </c>
      <c r="AA67">
        <f>+Q68+Q67</f>
        <v>2</v>
      </c>
      <c r="AB67">
        <f>+P68+P67</f>
        <v>2</v>
      </c>
      <c r="AC67" s="39">
        <f t="shared" si="26"/>
        <v>1</v>
      </c>
      <c r="AD67">
        <f>+T68+T67</f>
        <v>69</v>
      </c>
      <c r="AE67">
        <f>+S68+S67</f>
        <v>79</v>
      </c>
      <c r="AF67" s="39">
        <f t="shared" si="27"/>
        <v>0.87341772151898733</v>
      </c>
    </row>
    <row r="68" spans="1:32" ht="20.100000000000001" customHeight="1" thickBot="1" x14ac:dyDescent="0.35">
      <c r="A68" s="74">
        <v>3</v>
      </c>
      <c r="B68" s="75" t="s">
        <v>68</v>
      </c>
      <c r="F68" s="68" t="s">
        <v>32</v>
      </c>
      <c r="G68" s="53" t="str">
        <f>B66</f>
        <v>HÖCHST 1</v>
      </c>
      <c r="H68" s="54">
        <v>25</v>
      </c>
      <c r="I68" s="54">
        <v>8</v>
      </c>
      <c r="J68" s="54">
        <v>25</v>
      </c>
      <c r="K68" s="54">
        <v>11</v>
      </c>
      <c r="L68" s="54"/>
      <c r="M68" s="54"/>
      <c r="N68" s="55" t="str">
        <f>B68</f>
        <v>AUBAGNE</v>
      </c>
      <c r="O68" s="56"/>
      <c r="P68" s="57">
        <f>IF(H68&gt;I68,1,0)+IF(J68&gt;K68,1,0)+IF(L68&gt;M68,1,0)</f>
        <v>2</v>
      </c>
      <c r="Q68" s="58">
        <f>IF(I68&gt;H68,1,0)+IF(K68&gt;J68,1,0)+IF(M68&gt;L68,1,0)</f>
        <v>0</v>
      </c>
      <c r="R68" s="59"/>
      <c r="S68" s="57">
        <f>H68+J68+L68</f>
        <v>50</v>
      </c>
      <c r="T68" s="60">
        <f>I68+K68+M68</f>
        <v>19</v>
      </c>
      <c r="U68" s="61"/>
      <c r="V68" s="62" t="str">
        <f>B67</f>
        <v>THIMISTER 3</v>
      </c>
    </row>
    <row r="69" spans="1:32" ht="20.100000000000001" customHeight="1" x14ac:dyDescent="0.3">
      <c r="A69" s="69"/>
      <c r="B69" s="69"/>
      <c r="C69" s="70"/>
      <c r="D69" s="70"/>
      <c r="E69" s="70"/>
      <c r="F69" s="71"/>
      <c r="G69" s="72"/>
      <c r="H69" s="72"/>
      <c r="I69" s="72"/>
      <c r="J69" s="72"/>
      <c r="K69" s="72"/>
      <c r="L69" s="72"/>
      <c r="M69" s="72"/>
      <c r="N69" s="72"/>
      <c r="O69" s="71"/>
      <c r="P69" s="69"/>
      <c r="Q69" s="69"/>
      <c r="R69" s="69"/>
      <c r="S69" s="69"/>
      <c r="T69" s="69"/>
      <c r="U69" s="71"/>
      <c r="V69" s="73"/>
      <c r="X69" s="70"/>
      <c r="Y69" s="69"/>
      <c r="Z69" s="70"/>
      <c r="AA69" s="70"/>
      <c r="AB69" s="70"/>
      <c r="AC69" s="76"/>
      <c r="AD69" s="70"/>
      <c r="AE69" s="70"/>
      <c r="AF69" s="76"/>
    </row>
    <row r="70" spans="1:32" ht="20.100000000000001" customHeight="1" thickBot="1" x14ac:dyDescent="0.4">
      <c r="F70" s="13" t="s">
        <v>69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X70" s="70"/>
      <c r="Y70" s="69"/>
      <c r="Z70" s="70"/>
      <c r="AA70" s="70"/>
      <c r="AB70" s="70"/>
      <c r="AC70" s="76"/>
      <c r="AD70" s="70"/>
      <c r="AE70" s="70"/>
      <c r="AF70" s="76"/>
    </row>
    <row r="71" spans="1:32" ht="20.100000000000001" customHeight="1" thickBot="1" x14ac:dyDescent="0.35">
      <c r="F71" s="14" t="s">
        <v>4</v>
      </c>
      <c r="G71" s="15" t="s">
        <v>70</v>
      </c>
      <c r="H71" s="16"/>
      <c r="I71" s="16"/>
      <c r="J71" s="16"/>
      <c r="K71" s="16"/>
      <c r="L71" s="16"/>
      <c r="M71" s="16"/>
      <c r="N71" s="16"/>
      <c r="O71" s="17"/>
      <c r="P71" s="18" t="s">
        <v>6</v>
      </c>
      <c r="Q71" s="19"/>
      <c r="R71" s="20"/>
      <c r="S71" s="18" t="s">
        <v>7</v>
      </c>
      <c r="T71" s="21"/>
      <c r="U71" s="36"/>
      <c r="V71" s="23" t="s">
        <v>8</v>
      </c>
      <c r="X71" s="70"/>
      <c r="Z71" s="24" t="s">
        <v>9</v>
      </c>
      <c r="AA71" s="24" t="s">
        <v>10</v>
      </c>
      <c r="AB71" s="24" t="s">
        <v>11</v>
      </c>
      <c r="AC71" s="24" t="s">
        <v>12</v>
      </c>
      <c r="AD71" s="24" t="s">
        <v>13</v>
      </c>
      <c r="AE71" s="24" t="s">
        <v>14</v>
      </c>
      <c r="AF71" s="24" t="s">
        <v>15</v>
      </c>
    </row>
    <row r="72" spans="1:32" ht="20.100000000000001" customHeight="1" x14ac:dyDescent="0.3">
      <c r="A72" s="25"/>
      <c r="B72" s="26" t="s">
        <v>71</v>
      </c>
      <c r="F72" s="27"/>
      <c r="G72" s="28"/>
      <c r="H72" s="29" t="s">
        <v>17</v>
      </c>
      <c r="I72" s="30"/>
      <c r="J72" s="29" t="s">
        <v>18</v>
      </c>
      <c r="K72" s="30"/>
      <c r="L72" s="29" t="s">
        <v>19</v>
      </c>
      <c r="M72" s="30"/>
      <c r="N72" s="28"/>
      <c r="O72" s="31"/>
      <c r="P72" s="32"/>
      <c r="Q72" s="33"/>
      <c r="R72" s="34"/>
      <c r="S72" s="32"/>
      <c r="T72" s="35"/>
      <c r="U72" s="36"/>
      <c r="V72" s="37"/>
      <c r="X72" s="70"/>
      <c r="Y72" s="38" t="str">
        <f>B73</f>
        <v>CD 68-2</v>
      </c>
      <c r="Z72">
        <f>+IF(P73&gt;Q73,2,1)+IF(P75&gt;Q75,2,1)</f>
        <v>4</v>
      </c>
      <c r="AA72">
        <f>+P73+P75</f>
        <v>4</v>
      </c>
      <c r="AB72">
        <f>+Q73+Q75</f>
        <v>0</v>
      </c>
      <c r="AC72" s="39" t="str">
        <f>IF(AB72=0,"MAX",AA72/AB72)</f>
        <v>MAX</v>
      </c>
      <c r="AD72">
        <f>+S73+S75</f>
        <v>100</v>
      </c>
      <c r="AE72">
        <f>+T73+T75</f>
        <v>36</v>
      </c>
      <c r="AF72" s="39">
        <f>IF(AE72=0,"MAX",AD72/AE72)</f>
        <v>2.7777777777777777</v>
      </c>
    </row>
    <row r="73" spans="1:32" ht="20.100000000000001" customHeight="1" x14ac:dyDescent="0.3">
      <c r="A73" s="25">
        <v>1</v>
      </c>
      <c r="B73" s="38" t="s">
        <v>72</v>
      </c>
      <c r="F73" s="40" t="s">
        <v>21</v>
      </c>
      <c r="G73" s="41" t="str">
        <f>B73</f>
        <v>CD 68-2</v>
      </c>
      <c r="H73" s="42">
        <v>25</v>
      </c>
      <c r="I73" s="42">
        <v>9</v>
      </c>
      <c r="J73" s="42">
        <v>25</v>
      </c>
      <c r="K73" s="42">
        <v>10</v>
      </c>
      <c r="L73" s="42"/>
      <c r="M73" s="42"/>
      <c r="N73" s="43" t="str">
        <f>B74</f>
        <v>MAIZIERES LES METZ</v>
      </c>
      <c r="O73" s="31"/>
      <c r="P73" s="38">
        <f>IF(H73&gt;I73,1,0)+IF(J73&gt;K73,1,0)+IF(L73&gt;M73,1,0)</f>
        <v>2</v>
      </c>
      <c r="Q73" s="44">
        <f>IF(I73&gt;H73,1,0)+IF(K73&gt;J73,1,0)+IF(M73&gt;L73,1,0)</f>
        <v>0</v>
      </c>
      <c r="R73" s="45"/>
      <c r="S73" s="38">
        <f>H73+J73+L73</f>
        <v>50</v>
      </c>
      <c r="T73" s="46">
        <f>I73+K73+M73</f>
        <v>19</v>
      </c>
      <c r="U73" s="36"/>
      <c r="V73" s="47" t="str">
        <f>B75</f>
        <v>UNION DU CENTRE 2</v>
      </c>
      <c r="X73" s="70"/>
      <c r="Y73" s="44" t="str">
        <f>B74</f>
        <v>MAIZIERES LES METZ</v>
      </c>
      <c r="Z73">
        <f>+IF(Q73&gt;P73,2,1)+IF(P74&gt;Q74,2,1)</f>
        <v>2</v>
      </c>
      <c r="AA73">
        <f>+Q73+P74</f>
        <v>0</v>
      </c>
      <c r="AB73">
        <f>+P73+Q74</f>
        <v>4</v>
      </c>
      <c r="AC73" s="39">
        <f>IF(AB73=0,"MAX",AA73/AB73)</f>
        <v>0</v>
      </c>
      <c r="AD73">
        <f>+T73+S74</f>
        <v>60</v>
      </c>
      <c r="AE73">
        <f>+S73+T74</f>
        <v>100</v>
      </c>
      <c r="AF73" s="39">
        <f>IF(AE73=0,"MAX",AD73/AE73)</f>
        <v>0.6</v>
      </c>
    </row>
    <row r="74" spans="1:32" ht="20.100000000000001" customHeight="1" x14ac:dyDescent="0.3">
      <c r="A74" s="25">
        <v>2</v>
      </c>
      <c r="B74" s="44" t="s">
        <v>73</v>
      </c>
      <c r="F74" s="40" t="s">
        <v>25</v>
      </c>
      <c r="G74" s="43" t="str">
        <f>B74</f>
        <v>MAIZIERES LES METZ</v>
      </c>
      <c r="H74" s="42">
        <v>19</v>
      </c>
      <c r="I74" s="42">
        <v>25</v>
      </c>
      <c r="J74" s="42">
        <v>22</v>
      </c>
      <c r="K74" s="42">
        <v>25</v>
      </c>
      <c r="L74" s="42"/>
      <c r="M74" s="42"/>
      <c r="N74" s="48" t="str">
        <f>B75</f>
        <v>UNION DU CENTRE 2</v>
      </c>
      <c r="O74" s="31"/>
      <c r="P74" s="44">
        <f t="shared" ref="P74" si="31">IF(H74&gt;I74,1,0)+IF(J74&gt;K74,1,0)+IF(L74&gt;M74,1,0)</f>
        <v>0</v>
      </c>
      <c r="Q74" s="49">
        <f t="shared" ref="Q74" si="32">IF(I74&gt;H74,1,0)+IF(K74&gt;J74,1,0)+IF(M74&gt;L74,1,0)</f>
        <v>2</v>
      </c>
      <c r="R74" s="45"/>
      <c r="S74" s="44">
        <f t="shared" ref="S74:T74" si="33">H74+J74+L74</f>
        <v>41</v>
      </c>
      <c r="T74" s="50">
        <f t="shared" si="33"/>
        <v>50</v>
      </c>
      <c r="U74" s="36"/>
      <c r="V74" s="47" t="str">
        <f>B73</f>
        <v>CD 68-2</v>
      </c>
      <c r="X74" s="70"/>
      <c r="Y74" s="51" t="str">
        <f>B75</f>
        <v>UNION DU CENTRE 2</v>
      </c>
      <c r="Z74">
        <f>+IF(Q74&gt;P74,2,1)+IF(Q75&gt;P75,2,1)</f>
        <v>3</v>
      </c>
      <c r="AA74">
        <f>+Q74+Q75</f>
        <v>2</v>
      </c>
      <c r="AB74">
        <f>+P74+P75</f>
        <v>2</v>
      </c>
      <c r="AC74" s="39">
        <f>IF(AB74=0,"MAX",AA74/AB74)</f>
        <v>1</v>
      </c>
      <c r="AD74">
        <f>+T74+T75</f>
        <v>67</v>
      </c>
      <c r="AE74">
        <f>+S74+S75</f>
        <v>91</v>
      </c>
      <c r="AF74" s="39">
        <f>IF(AE74=0,"MAX",AD74/AE74)</f>
        <v>0.73626373626373631</v>
      </c>
    </row>
    <row r="75" spans="1:32" ht="20.100000000000001" customHeight="1" thickBot="1" x14ac:dyDescent="0.35">
      <c r="A75" s="25">
        <v>3</v>
      </c>
      <c r="B75" s="51" t="s">
        <v>74</v>
      </c>
      <c r="F75" s="68" t="s">
        <v>32</v>
      </c>
      <c r="G75" s="41" t="str">
        <f>B73</f>
        <v>CD 68-2</v>
      </c>
      <c r="H75" s="42">
        <v>25</v>
      </c>
      <c r="I75" s="42">
        <v>4</v>
      </c>
      <c r="J75" s="42">
        <v>25</v>
      </c>
      <c r="K75" s="42">
        <v>13</v>
      </c>
      <c r="L75" s="42"/>
      <c r="M75" s="42"/>
      <c r="N75" s="77" t="str">
        <f>B75</f>
        <v>UNION DU CENTRE 2</v>
      </c>
      <c r="O75" s="31"/>
      <c r="P75" s="38">
        <f>IF(H75&gt;I75,1,0)+IF(J75&gt;K75,1,0)+IF(L75&gt;M75,1,0)</f>
        <v>2</v>
      </c>
      <c r="Q75" s="49">
        <f>IF(I75&gt;H75,1,0)+IF(K75&gt;J75,1,0)+IF(M75&gt;L75,1,0)</f>
        <v>0</v>
      </c>
      <c r="R75" s="45"/>
      <c r="S75" s="38">
        <f>H75+J75+L75</f>
        <v>50</v>
      </c>
      <c r="T75" s="50">
        <f>I75+K75+M75</f>
        <v>17</v>
      </c>
      <c r="U75" s="36"/>
      <c r="V75" s="47" t="str">
        <f>B74</f>
        <v>MAIZIERES LES METZ</v>
      </c>
    </row>
    <row r="76" spans="1:32" ht="5.0999999999999996" customHeight="1" thickBot="1" x14ac:dyDescent="0.35"/>
    <row r="77" spans="1:32" ht="39.9" customHeight="1" x14ac:dyDescent="0.3">
      <c r="F77" s="2" t="s"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"/>
      <c r="U77" s="71"/>
      <c r="V77" s="73"/>
    </row>
    <row r="78" spans="1:32" ht="39.9" customHeight="1" x14ac:dyDescent="0.3">
      <c r="F78" s="6" t="s">
        <v>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8"/>
      <c r="U78" s="71"/>
      <c r="V78" s="73"/>
    </row>
    <row r="79" spans="1:32" ht="30" customHeight="1" thickBot="1" x14ac:dyDescent="0.35">
      <c r="F79" s="9" t="s">
        <v>2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1"/>
      <c r="U79" s="71"/>
      <c r="V79" s="73"/>
    </row>
    <row r="80" spans="1:32" ht="20.100000000000001" customHeight="1" x14ac:dyDescent="0.4">
      <c r="V80" s="12"/>
    </row>
    <row r="81" spans="1:32" ht="20.100000000000001" customHeight="1" thickBot="1" x14ac:dyDescent="0.4">
      <c r="F81" s="13" t="s">
        <v>75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32" ht="20.100000000000001" customHeight="1" thickBot="1" x14ac:dyDescent="0.35">
      <c r="F82" s="14" t="s">
        <v>4</v>
      </c>
      <c r="G82" s="15" t="s">
        <v>76</v>
      </c>
      <c r="H82" s="16"/>
      <c r="I82" s="16"/>
      <c r="J82" s="16"/>
      <c r="K82" s="16"/>
      <c r="L82" s="16"/>
      <c r="M82" s="16"/>
      <c r="N82" s="16"/>
      <c r="O82" s="17"/>
      <c r="P82" s="18" t="s">
        <v>6</v>
      </c>
      <c r="Q82" s="19"/>
      <c r="R82" s="20"/>
      <c r="S82" s="18" t="s">
        <v>7</v>
      </c>
      <c r="T82" s="21"/>
      <c r="U82" s="22"/>
      <c r="V82" s="23" t="s">
        <v>8</v>
      </c>
      <c r="Z82" s="24" t="s">
        <v>9</v>
      </c>
      <c r="AA82" s="24" t="s">
        <v>10</v>
      </c>
      <c r="AB82" s="24" t="s">
        <v>11</v>
      </c>
      <c r="AC82" s="24" t="s">
        <v>12</v>
      </c>
      <c r="AD82" s="24" t="s">
        <v>13</v>
      </c>
      <c r="AE82" s="24" t="s">
        <v>14</v>
      </c>
      <c r="AF82" s="24" t="s">
        <v>15</v>
      </c>
    </row>
    <row r="83" spans="1:32" ht="20.100000000000001" customHeight="1" x14ac:dyDescent="0.3">
      <c r="A83" s="25"/>
      <c r="B83" s="26" t="s">
        <v>77</v>
      </c>
      <c r="F83" s="27"/>
      <c r="G83" s="28"/>
      <c r="H83" s="29" t="s">
        <v>17</v>
      </c>
      <c r="I83" s="30"/>
      <c r="J83" s="29" t="s">
        <v>18</v>
      </c>
      <c r="K83" s="30"/>
      <c r="L83" s="29" t="s">
        <v>19</v>
      </c>
      <c r="M83" s="30"/>
      <c r="N83" s="28"/>
      <c r="O83" s="31"/>
      <c r="P83" s="32"/>
      <c r="Q83" s="33"/>
      <c r="R83" s="34"/>
      <c r="S83" s="32"/>
      <c r="T83" s="35"/>
      <c r="U83" s="36"/>
      <c r="V83" s="37"/>
      <c r="Y83" s="38" t="str">
        <f>B84</f>
        <v>THIMISTER 1</v>
      </c>
      <c r="Z83">
        <f>+IF(P84&gt;Q84,2,1)+IF(P87&gt;Q87,2,1)</f>
        <v>4</v>
      </c>
      <c r="AA83">
        <f>+P84+P87</f>
        <v>4</v>
      </c>
      <c r="AB83">
        <f>+Q84+Q87</f>
        <v>0</v>
      </c>
      <c r="AC83" s="39" t="str">
        <f>IF(AB83=0,"MAX",AA83/AB83)</f>
        <v>MAX</v>
      </c>
      <c r="AD83">
        <f>+S84+S87</f>
        <v>100</v>
      </c>
      <c r="AE83">
        <f>+T84+T87</f>
        <v>31</v>
      </c>
      <c r="AF83" s="39">
        <f>IF(AE83=0,"MAX",AD83/AE83)</f>
        <v>3.225806451612903</v>
      </c>
    </row>
    <row r="84" spans="1:32" ht="20.100000000000001" customHeight="1" x14ac:dyDescent="0.3">
      <c r="A84" s="25">
        <v>1</v>
      </c>
      <c r="B84" s="38" t="s">
        <v>78</v>
      </c>
      <c r="F84" s="40" t="s">
        <v>21</v>
      </c>
      <c r="G84" s="41" t="str">
        <f>B84</f>
        <v>THIMISTER 1</v>
      </c>
      <c r="H84" s="42">
        <v>25</v>
      </c>
      <c r="I84" s="42">
        <v>4</v>
      </c>
      <c r="J84" s="42">
        <v>25</v>
      </c>
      <c r="K84" s="42">
        <v>7</v>
      </c>
      <c r="L84" s="42"/>
      <c r="M84" s="42"/>
      <c r="N84" s="43" t="str">
        <f>B85</f>
        <v>CD 71-1</v>
      </c>
      <c r="O84" s="31"/>
      <c r="P84" s="38">
        <f>IF(H84&gt;I84,1,0)+IF(J84&gt;K84,1,0)+IF(L84&gt;M84,1,0)</f>
        <v>2</v>
      </c>
      <c r="Q84" s="44">
        <f>IF(I84&gt;H84,1,0)+IF(K84&gt;J84,1,0)+IF(M84&gt;L84,1,0)</f>
        <v>0</v>
      </c>
      <c r="R84" s="45"/>
      <c r="S84" s="38">
        <f>H84+J84+L84</f>
        <v>50</v>
      </c>
      <c r="T84" s="46">
        <f>I84+K84+M84</f>
        <v>11</v>
      </c>
      <c r="U84" s="36"/>
      <c r="V84" s="47" t="str">
        <f>B86</f>
        <v>KINGERSHEIM 1</v>
      </c>
      <c r="Y84" s="44" t="str">
        <f>B85</f>
        <v>CD 71-1</v>
      </c>
      <c r="Z84">
        <f>+IF(Q84&gt;P84,2,1)+IF(P86&gt;Q86,2,1)</f>
        <v>2</v>
      </c>
      <c r="AA84">
        <f>+Q84+P86</f>
        <v>0</v>
      </c>
      <c r="AB84">
        <f>+P84+Q86</f>
        <v>4</v>
      </c>
      <c r="AC84" s="39">
        <f>IF(AB84=0,"MAX",AA84/AB84)</f>
        <v>0</v>
      </c>
      <c r="AD84">
        <f>+T84+S86</f>
        <v>27</v>
      </c>
      <c r="AE84">
        <f>+S84+T86</f>
        <v>100</v>
      </c>
      <c r="AF84" s="39">
        <f>IF(AE84=0,"MAX",AD84/AE84)</f>
        <v>0.27</v>
      </c>
    </row>
    <row r="85" spans="1:32" ht="20.100000000000001" customHeight="1" x14ac:dyDescent="0.3">
      <c r="A85" s="25">
        <v>2</v>
      </c>
      <c r="B85" s="44" t="s">
        <v>79</v>
      </c>
      <c r="F85" s="40"/>
      <c r="G85" s="78" t="s">
        <v>80</v>
      </c>
      <c r="H85" s="78"/>
      <c r="I85" s="78"/>
      <c r="J85" s="78"/>
      <c r="K85" s="78"/>
      <c r="L85" s="78"/>
      <c r="M85" s="78"/>
      <c r="N85" s="78"/>
      <c r="O85" s="31"/>
      <c r="P85" s="79"/>
      <c r="Q85" s="79"/>
      <c r="R85" s="45"/>
      <c r="S85" s="79"/>
      <c r="T85" s="80"/>
      <c r="U85" s="81"/>
      <c r="V85" s="82"/>
      <c r="Y85" s="51" t="str">
        <f>B86</f>
        <v>KINGERSHEIM 1</v>
      </c>
      <c r="Z85">
        <f>+IF(Q86&gt;P86,2,1)+IF(Q87&gt;P87,2,1)</f>
        <v>3</v>
      </c>
      <c r="AA85">
        <f>+Q86+Q87</f>
        <v>2</v>
      </c>
      <c r="AB85">
        <f>+P86+P87</f>
        <v>2</v>
      </c>
      <c r="AC85" s="39">
        <f>IF(AB85=0,"MAX",AA85/AB85)</f>
        <v>1</v>
      </c>
      <c r="AD85">
        <f>+T86+T87</f>
        <v>70</v>
      </c>
      <c r="AE85">
        <f>+S86+S87</f>
        <v>66</v>
      </c>
      <c r="AF85" s="39">
        <f>IF(AE85=0,"MAX",AD85/AE85)</f>
        <v>1.0606060606060606</v>
      </c>
    </row>
    <row r="86" spans="1:32" ht="20.100000000000001" customHeight="1" x14ac:dyDescent="0.3">
      <c r="A86" s="25">
        <v>3</v>
      </c>
      <c r="B86" s="51" t="s">
        <v>81</v>
      </c>
      <c r="F86" s="40" t="s">
        <v>25</v>
      </c>
      <c r="G86" s="43" t="str">
        <f>B85</f>
        <v>CD 71-1</v>
      </c>
      <c r="H86" s="42">
        <v>5</v>
      </c>
      <c r="I86" s="42">
        <v>25</v>
      </c>
      <c r="J86" s="42">
        <v>11</v>
      </c>
      <c r="K86" s="42">
        <v>25</v>
      </c>
      <c r="L86" s="42"/>
      <c r="M86" s="42"/>
      <c r="N86" s="48" t="str">
        <f>B86</f>
        <v>KINGERSHEIM 1</v>
      </c>
      <c r="O86" s="31"/>
      <c r="P86" s="44">
        <f t="shared" ref="P86" si="34">IF(H86&gt;I86,1,0)+IF(J86&gt;K86,1,0)+IF(L86&gt;M86,1,0)</f>
        <v>0</v>
      </c>
      <c r="Q86" s="49">
        <f t="shared" ref="Q86" si="35">IF(I86&gt;H86,1,0)+IF(K86&gt;J86,1,0)+IF(M86&gt;L86,1,0)</f>
        <v>2</v>
      </c>
      <c r="R86" s="45"/>
      <c r="S86" s="44">
        <f t="shared" ref="S86:T86" si="36">H86+J86+L86</f>
        <v>16</v>
      </c>
      <c r="T86" s="50">
        <f t="shared" si="36"/>
        <v>50</v>
      </c>
      <c r="U86" s="36"/>
      <c r="V86" s="47" t="str">
        <f>B84</f>
        <v>THIMISTER 1</v>
      </c>
    </row>
    <row r="87" spans="1:32" ht="20.100000000000001" customHeight="1" thickBot="1" x14ac:dyDescent="0.35">
      <c r="A87" s="69"/>
      <c r="B87" s="69"/>
      <c r="F87" s="68" t="s">
        <v>32</v>
      </c>
      <c r="G87" s="53" t="str">
        <f>B84</f>
        <v>THIMISTER 1</v>
      </c>
      <c r="H87" s="54">
        <v>25</v>
      </c>
      <c r="I87" s="54">
        <v>13</v>
      </c>
      <c r="J87" s="54">
        <v>25</v>
      </c>
      <c r="K87" s="54">
        <v>7</v>
      </c>
      <c r="L87" s="54"/>
      <c r="M87" s="54"/>
      <c r="N87" s="55" t="str">
        <f>B86</f>
        <v>KINGERSHEIM 1</v>
      </c>
      <c r="O87" s="56"/>
      <c r="P87" s="57">
        <f>IF(H87&gt;I87,1,0)+IF(J87&gt;K87,1,0)+IF(L87&gt;M87,1,0)</f>
        <v>2</v>
      </c>
      <c r="Q87" s="58">
        <f>IF(I87&gt;H87,1,0)+IF(K87&gt;J87,1,0)+IF(M87&gt;L87,1,0)</f>
        <v>0</v>
      </c>
      <c r="R87" s="59"/>
      <c r="S87" s="57">
        <f>H87+J87+L87</f>
        <v>50</v>
      </c>
      <c r="T87" s="60">
        <f>I87+K87+M87</f>
        <v>20</v>
      </c>
      <c r="U87" s="61"/>
      <c r="V87" s="62" t="str">
        <f>B85</f>
        <v>CD 71-1</v>
      </c>
    </row>
    <row r="88" spans="1:32" ht="20.100000000000001" customHeight="1" x14ac:dyDescent="0.4">
      <c r="V88" s="12"/>
    </row>
    <row r="89" spans="1:32" ht="20.100000000000001" customHeight="1" thickBot="1" x14ac:dyDescent="0.4">
      <c r="F89" s="13" t="s">
        <v>82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32" ht="20.100000000000001" customHeight="1" thickBot="1" x14ac:dyDescent="0.35">
      <c r="F90" s="14" t="s">
        <v>4</v>
      </c>
      <c r="G90" s="15" t="s">
        <v>83</v>
      </c>
      <c r="H90" s="16"/>
      <c r="I90" s="16"/>
      <c r="J90" s="16"/>
      <c r="K90" s="16"/>
      <c r="L90" s="16"/>
      <c r="M90" s="16"/>
      <c r="N90" s="16"/>
      <c r="O90" s="17"/>
      <c r="P90" s="18" t="s">
        <v>6</v>
      </c>
      <c r="Q90" s="19"/>
      <c r="R90" s="20"/>
      <c r="S90" s="18" t="s">
        <v>7</v>
      </c>
      <c r="T90" s="63"/>
      <c r="U90" s="36"/>
      <c r="V90" s="23" t="s">
        <v>8</v>
      </c>
      <c r="Z90" s="24" t="s">
        <v>9</v>
      </c>
      <c r="AA90" s="24" t="s">
        <v>10</v>
      </c>
      <c r="AB90" s="24" t="s">
        <v>11</v>
      </c>
      <c r="AC90" s="24" t="s">
        <v>12</v>
      </c>
      <c r="AD90" s="24" t="s">
        <v>13</v>
      </c>
      <c r="AE90" s="24" t="s">
        <v>14</v>
      </c>
      <c r="AF90" s="24" t="s">
        <v>15</v>
      </c>
    </row>
    <row r="91" spans="1:32" ht="20.100000000000001" customHeight="1" x14ac:dyDescent="0.3">
      <c r="A91" s="64"/>
      <c r="B91" s="26" t="s">
        <v>84</v>
      </c>
      <c r="F91" s="27"/>
      <c r="G91" s="28"/>
      <c r="H91" s="29" t="s">
        <v>17</v>
      </c>
      <c r="I91" s="30"/>
      <c r="J91" s="29" t="s">
        <v>18</v>
      </c>
      <c r="K91" s="30"/>
      <c r="L91" s="29" t="s">
        <v>19</v>
      </c>
      <c r="M91" s="30"/>
      <c r="N91" s="28"/>
      <c r="O91" s="31"/>
      <c r="P91" s="32"/>
      <c r="Q91" s="33"/>
      <c r="R91" s="34"/>
      <c r="S91" s="32"/>
      <c r="T91" s="66"/>
      <c r="U91" s="36"/>
      <c r="V91" s="37"/>
      <c r="Y91" s="38" t="str">
        <f>B92</f>
        <v>DORNBIRN 1</v>
      </c>
      <c r="Z91">
        <f>+IF(P92&gt;Q92,2,1)+IF(P95&gt;Q95,2,1)</f>
        <v>4</v>
      </c>
      <c r="AA91">
        <f>+P92+P95</f>
        <v>4</v>
      </c>
      <c r="AB91">
        <f>+Q92+Q95</f>
        <v>0</v>
      </c>
      <c r="AC91" s="39" t="str">
        <f>IF(AB91=0,"MAX",AA91/AB91)</f>
        <v>MAX</v>
      </c>
      <c r="AD91">
        <f>+S92+S95</f>
        <v>100</v>
      </c>
      <c r="AE91">
        <f>+T92+T95</f>
        <v>56</v>
      </c>
      <c r="AF91" s="39">
        <f>IF(AE91=0,"MAX",AD91/AE91)</f>
        <v>1.7857142857142858</v>
      </c>
    </row>
    <row r="92" spans="1:32" ht="20.100000000000001" customHeight="1" x14ac:dyDescent="0.3">
      <c r="A92" s="25">
        <v>1</v>
      </c>
      <c r="B92" s="38" t="s">
        <v>85</v>
      </c>
      <c r="F92" s="40" t="s">
        <v>21</v>
      </c>
      <c r="G92" s="41" t="str">
        <f>B92</f>
        <v>DORNBIRN 1</v>
      </c>
      <c r="H92" s="42">
        <v>25</v>
      </c>
      <c r="I92" s="42">
        <v>13</v>
      </c>
      <c r="J92" s="42">
        <v>25</v>
      </c>
      <c r="K92" s="42">
        <v>13</v>
      </c>
      <c r="L92" s="42"/>
      <c r="M92" s="42"/>
      <c r="N92" s="43" t="str">
        <f>B93</f>
        <v>THIMISTER 2</v>
      </c>
      <c r="O92" s="31"/>
      <c r="P92" s="38">
        <f>IF(H92&gt;I92,1,0)+IF(J92&gt;K92,1,0)+IF(L92&gt;M92,1,0)</f>
        <v>2</v>
      </c>
      <c r="Q92" s="44">
        <f>IF(I92&gt;H92,1,0)+IF(K92&gt;J92,1,0)+IF(M92&gt;L92,1,0)</f>
        <v>0</v>
      </c>
      <c r="R92" s="45"/>
      <c r="S92" s="38">
        <f>H92+J92+L92</f>
        <v>50</v>
      </c>
      <c r="T92" s="46">
        <f>I92+K92+M92</f>
        <v>26</v>
      </c>
      <c r="U92" s="36"/>
      <c r="V92" s="47" t="str">
        <f>B94</f>
        <v>RIXHEIM</v>
      </c>
      <c r="Y92" s="44" t="str">
        <f>B93</f>
        <v>THIMISTER 2</v>
      </c>
      <c r="Z92">
        <f>+IF(Q92&gt;P92,2,1)+IF(P94&gt;Q94,2,1)</f>
        <v>2</v>
      </c>
      <c r="AA92">
        <f>+Q92+P94</f>
        <v>1</v>
      </c>
      <c r="AB92">
        <f>+P92+Q94</f>
        <v>4</v>
      </c>
      <c r="AC92" s="39">
        <f t="shared" ref="AC92:AC93" si="37">IF(AB92=0,"MAX",AA92/AB92)</f>
        <v>0.25</v>
      </c>
      <c r="AD92">
        <f>+T92+S94</f>
        <v>81</v>
      </c>
      <c r="AE92">
        <f>+S92+T94</f>
        <v>111</v>
      </c>
      <c r="AF92" s="39">
        <f t="shared" ref="AF92:AF93" si="38">IF(AE92=0,"MAX",AD92/AE92)</f>
        <v>0.72972972972972971</v>
      </c>
    </row>
    <row r="93" spans="1:32" ht="20.100000000000001" customHeight="1" x14ac:dyDescent="0.3">
      <c r="A93" s="25">
        <v>2</v>
      </c>
      <c r="B93" s="44" t="s">
        <v>86</v>
      </c>
      <c r="F93" s="40"/>
      <c r="G93" s="78" t="s">
        <v>87</v>
      </c>
      <c r="H93" s="78"/>
      <c r="I93" s="78"/>
      <c r="J93" s="78"/>
      <c r="K93" s="78"/>
      <c r="L93" s="78"/>
      <c r="M93" s="78"/>
      <c r="N93" s="78"/>
      <c r="O93" s="31"/>
      <c r="P93" s="79"/>
      <c r="Q93" s="79"/>
      <c r="R93" s="45"/>
      <c r="S93" s="79"/>
      <c r="T93" s="80"/>
      <c r="U93" s="81"/>
      <c r="V93" s="82"/>
      <c r="Y93" s="51" t="str">
        <f>B94</f>
        <v>RIXHEIM</v>
      </c>
      <c r="Z93">
        <f>+IF(Q95&gt;P95,2,1)+IF(Q94&gt;P94,2,1)</f>
        <v>3</v>
      </c>
      <c r="AA93">
        <f>+Q95+Q94</f>
        <v>2</v>
      </c>
      <c r="AB93">
        <f>+P95+P94</f>
        <v>3</v>
      </c>
      <c r="AC93" s="39">
        <f t="shared" si="37"/>
        <v>0.66666666666666663</v>
      </c>
      <c r="AD93">
        <f>+T95+T94</f>
        <v>91</v>
      </c>
      <c r="AE93">
        <f>+S95+S94</f>
        <v>105</v>
      </c>
      <c r="AF93" s="39">
        <f t="shared" si="38"/>
        <v>0.8666666666666667</v>
      </c>
    </row>
    <row r="94" spans="1:32" ht="20.100000000000001" customHeight="1" thickBot="1" x14ac:dyDescent="0.35">
      <c r="A94" s="25">
        <v>3</v>
      </c>
      <c r="B94" s="51" t="s">
        <v>88</v>
      </c>
      <c r="F94" s="40" t="s">
        <v>25</v>
      </c>
      <c r="G94" s="43" t="str">
        <f>B93</f>
        <v>THIMISTER 2</v>
      </c>
      <c r="H94" s="42">
        <v>25</v>
      </c>
      <c r="I94" s="42">
        <v>21</v>
      </c>
      <c r="J94" s="42">
        <v>20</v>
      </c>
      <c r="K94" s="42">
        <v>25</v>
      </c>
      <c r="L94" s="42">
        <v>10</v>
      </c>
      <c r="M94" s="42">
        <v>15</v>
      </c>
      <c r="N94" s="48" t="str">
        <f>B94</f>
        <v>RIXHEIM</v>
      </c>
      <c r="O94" s="56"/>
      <c r="P94" s="67">
        <f t="shared" ref="P94" si="39">IF(H94&gt;I94,1,0)+IF(J94&gt;K94,1,0)+IF(L94&gt;M94,1,0)</f>
        <v>1</v>
      </c>
      <c r="Q94" s="58">
        <f t="shared" ref="Q94" si="40">IF(I94&gt;H94,1,0)+IF(K94&gt;J94,1,0)+IF(M94&gt;L94,1,0)</f>
        <v>2</v>
      </c>
      <c r="R94" s="59"/>
      <c r="S94" s="67">
        <f t="shared" ref="S94:T94" si="41">H94+J94+L94</f>
        <v>55</v>
      </c>
      <c r="T94" s="60">
        <f t="shared" si="41"/>
        <v>61</v>
      </c>
      <c r="U94" s="61"/>
      <c r="V94" s="47" t="str">
        <f>B92</f>
        <v>DORNBIRN 1</v>
      </c>
    </row>
    <row r="95" spans="1:32" ht="20.100000000000001" customHeight="1" thickBot="1" x14ac:dyDescent="0.35">
      <c r="A95" s="69"/>
      <c r="B95" s="69"/>
      <c r="F95" s="68" t="s">
        <v>32</v>
      </c>
      <c r="G95" s="41" t="str">
        <f>B92</f>
        <v>DORNBIRN 1</v>
      </c>
      <c r="H95" s="42">
        <v>25</v>
      </c>
      <c r="I95" s="42">
        <v>14</v>
      </c>
      <c r="J95" s="42">
        <v>25</v>
      </c>
      <c r="K95" s="42">
        <v>16</v>
      </c>
      <c r="L95" s="42"/>
      <c r="M95" s="42"/>
      <c r="N95" s="77" t="str">
        <f>B94</f>
        <v>RIXHEIM</v>
      </c>
      <c r="O95" s="31"/>
      <c r="P95" s="38">
        <f>IF(H95&gt;I95,1,0)+IF(J95&gt;K95,1,0)+IF(L95&gt;M95,1,0)</f>
        <v>2</v>
      </c>
      <c r="Q95" s="49">
        <f>IF(I95&gt;H95,1,0)+IF(K95&gt;J95,1,0)+IF(M95&gt;L95,1,0)</f>
        <v>0</v>
      </c>
      <c r="R95" s="45"/>
      <c r="S95" s="38">
        <f>H95+J95+L95</f>
        <v>50</v>
      </c>
      <c r="T95" s="50">
        <f>I95+K95+M95</f>
        <v>30</v>
      </c>
      <c r="U95" s="36"/>
      <c r="V95" s="47" t="str">
        <f>B93</f>
        <v>THIMISTER 2</v>
      </c>
    </row>
    <row r="96" spans="1:32" ht="20.100000000000001" customHeight="1" x14ac:dyDescent="0.3">
      <c r="A96" s="69"/>
      <c r="B96" s="69"/>
      <c r="C96" s="70"/>
      <c r="D96" s="70"/>
      <c r="E96" s="70"/>
      <c r="F96" s="71"/>
      <c r="G96" s="72"/>
      <c r="H96" s="72"/>
      <c r="I96" s="72"/>
      <c r="J96" s="72"/>
      <c r="K96" s="72"/>
      <c r="L96" s="72"/>
      <c r="M96" s="72"/>
      <c r="N96" s="72"/>
      <c r="O96" s="71"/>
      <c r="P96" s="69"/>
      <c r="Q96" s="69"/>
      <c r="R96" s="69"/>
      <c r="S96" s="69"/>
      <c r="T96" s="69"/>
      <c r="U96" s="71"/>
      <c r="V96" s="73"/>
      <c r="X96" s="70"/>
      <c r="Y96" s="69"/>
      <c r="Z96" s="70"/>
      <c r="AA96" s="70"/>
      <c r="AB96" s="70"/>
      <c r="AC96" s="76"/>
      <c r="AD96" s="70"/>
      <c r="AE96" s="70"/>
      <c r="AF96" s="76"/>
    </row>
    <row r="97" spans="1:32" ht="20.100000000000001" customHeight="1" thickBot="1" x14ac:dyDescent="0.4">
      <c r="F97" s="13" t="s">
        <v>89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32" ht="20.100000000000001" customHeight="1" thickBot="1" x14ac:dyDescent="0.35">
      <c r="F98" s="14" t="s">
        <v>4</v>
      </c>
      <c r="G98" s="15" t="s">
        <v>90</v>
      </c>
      <c r="H98" s="16"/>
      <c r="I98" s="16"/>
      <c r="J98" s="16"/>
      <c r="K98" s="16"/>
      <c r="L98" s="16"/>
      <c r="M98" s="16"/>
      <c r="N98" s="16"/>
      <c r="O98" s="17"/>
      <c r="P98" s="18" t="s">
        <v>6</v>
      </c>
      <c r="Q98" s="19"/>
      <c r="R98" s="20"/>
      <c r="S98" s="18" t="s">
        <v>7</v>
      </c>
      <c r="T98" s="21"/>
      <c r="U98" s="36"/>
      <c r="V98" s="23" t="s">
        <v>8</v>
      </c>
    </row>
    <row r="99" spans="1:32" ht="20.100000000000001" customHeight="1" x14ac:dyDescent="0.3">
      <c r="F99" s="27"/>
      <c r="G99" s="28"/>
      <c r="H99" s="29" t="s">
        <v>17</v>
      </c>
      <c r="I99" s="30"/>
      <c r="J99" s="29" t="s">
        <v>18</v>
      </c>
      <c r="K99" s="30"/>
      <c r="L99" s="29" t="s">
        <v>19</v>
      </c>
      <c r="M99" s="30"/>
      <c r="N99" s="28"/>
      <c r="O99" s="31"/>
      <c r="P99" s="32"/>
      <c r="Q99" s="33"/>
      <c r="R99" s="34"/>
      <c r="S99" s="32"/>
      <c r="T99" s="35"/>
      <c r="U99" s="36"/>
      <c r="V99" s="37"/>
    </row>
    <row r="100" spans="1:32" ht="20.100000000000001" customHeight="1" x14ac:dyDescent="0.3">
      <c r="A100" s="25"/>
      <c r="B100" s="26" t="s">
        <v>91</v>
      </c>
      <c r="F100" s="83" t="s">
        <v>23</v>
      </c>
      <c r="G100" s="84" t="str">
        <f>B101</f>
        <v>UNION DU CENTRE 1</v>
      </c>
      <c r="H100" s="85">
        <v>25</v>
      </c>
      <c r="I100" s="85">
        <v>8</v>
      </c>
      <c r="J100" s="85">
        <v>25</v>
      </c>
      <c r="K100" s="85">
        <v>6</v>
      </c>
      <c r="L100" s="85"/>
      <c r="M100" s="85"/>
      <c r="N100" s="86" t="str">
        <f>B104</f>
        <v>CD 71-2</v>
      </c>
      <c r="O100" s="31"/>
      <c r="P100" s="38">
        <f>IF(H100&gt;I100,1,0)+IF(J100&gt;K100,1,0)+IF(L100&gt;M100,1,0)</f>
        <v>2</v>
      </c>
      <c r="Q100" s="44">
        <f>IF(I100&gt;H100,1,0)+IF(K100&gt;J100,1,0)+IF(M100&gt;L100,1,0)</f>
        <v>0</v>
      </c>
      <c r="R100" s="45"/>
      <c r="S100" s="38">
        <f>H100+J100+L100</f>
        <v>50</v>
      </c>
      <c r="T100" s="46">
        <f>I100+K100+M100</f>
        <v>14</v>
      </c>
      <c r="U100" s="36"/>
      <c r="V100" s="47" t="s">
        <v>92</v>
      </c>
      <c r="Z100" s="24" t="s">
        <v>9</v>
      </c>
      <c r="AA100" s="24" t="s">
        <v>10</v>
      </c>
      <c r="AB100" s="24" t="s">
        <v>11</v>
      </c>
      <c r="AC100" s="24" t="s">
        <v>12</v>
      </c>
      <c r="AD100" s="24" t="s">
        <v>13</v>
      </c>
      <c r="AE100" s="24" t="s">
        <v>14</v>
      </c>
      <c r="AF100" s="24" t="s">
        <v>15</v>
      </c>
    </row>
    <row r="101" spans="1:32" ht="20.100000000000001" customHeight="1" x14ac:dyDescent="0.3">
      <c r="A101" s="25">
        <v>1</v>
      </c>
      <c r="B101" s="38" t="s">
        <v>93</v>
      </c>
      <c r="F101" s="40" t="s">
        <v>25</v>
      </c>
      <c r="G101" s="84" t="str">
        <f>B101</f>
        <v>UNION DU CENTRE 1</v>
      </c>
      <c r="H101" s="85">
        <v>25</v>
      </c>
      <c r="I101" s="85">
        <v>10</v>
      </c>
      <c r="J101" s="85">
        <v>25</v>
      </c>
      <c r="K101" s="85">
        <v>10</v>
      </c>
      <c r="L101" s="85"/>
      <c r="M101" s="85"/>
      <c r="N101" s="87" t="str">
        <f>B103</f>
        <v>KINGERSHEIM 2</v>
      </c>
      <c r="O101" s="31"/>
      <c r="P101" s="38">
        <f t="shared" ref="P101" si="42">IF(H101&gt;I101,1,0)+IF(J101&gt;K101,1,0)+IF(L101&gt;M101,1,0)</f>
        <v>2</v>
      </c>
      <c r="Q101" s="49">
        <f t="shared" ref="Q101" si="43">IF(I101&gt;H101,1,0)+IF(K101&gt;J101,1,0)+IF(M101&gt;L101,1,0)</f>
        <v>0</v>
      </c>
      <c r="R101" s="45"/>
      <c r="S101" s="38">
        <f t="shared" ref="S101:T101" si="44">H101+J101+L101</f>
        <v>50</v>
      </c>
      <c r="T101" s="50">
        <f t="shared" si="44"/>
        <v>20</v>
      </c>
      <c r="U101" s="36"/>
      <c r="V101" s="47" t="s">
        <v>92</v>
      </c>
      <c r="Y101" s="38" t="str">
        <f>B101</f>
        <v>UNION DU CENTRE 1</v>
      </c>
      <c r="Z101">
        <f>IF(P100&gt;Q100,2,1)+IF(P101&gt;Q101,2,1)+IF(P102&gt;Q102,2,1)</f>
        <v>6</v>
      </c>
      <c r="AA101">
        <f>P100+P101+P102</f>
        <v>6</v>
      </c>
      <c r="AB101">
        <f>Q100+Q101+Q102</f>
        <v>0</v>
      </c>
      <c r="AC101" s="39" t="str">
        <f>IF(AB101=0,"MAX",AA101/AB101)</f>
        <v>MAX</v>
      </c>
      <c r="AD101">
        <f>S100+S101+S102</f>
        <v>150</v>
      </c>
      <c r="AE101">
        <f>T100+T101+T102</f>
        <v>56</v>
      </c>
      <c r="AF101" s="39">
        <f>IF(AE101=0,"MAX",AD101/AE101)</f>
        <v>2.6785714285714284</v>
      </c>
    </row>
    <row r="102" spans="1:32" ht="20.100000000000001" customHeight="1" x14ac:dyDescent="0.3">
      <c r="A102" s="25">
        <v>2</v>
      </c>
      <c r="B102" s="88" t="s">
        <v>94</v>
      </c>
      <c r="F102" s="40" t="s">
        <v>32</v>
      </c>
      <c r="G102" s="41" t="str">
        <f>B101</f>
        <v>UNION DU CENTRE 1</v>
      </c>
      <c r="H102" s="42">
        <v>25</v>
      </c>
      <c r="I102" s="42">
        <v>10</v>
      </c>
      <c r="J102" s="42">
        <v>25</v>
      </c>
      <c r="K102" s="42">
        <v>12</v>
      </c>
      <c r="L102" s="42"/>
      <c r="M102" s="42"/>
      <c r="N102" s="89" t="str">
        <f>B102</f>
        <v>CD 67</v>
      </c>
      <c r="O102" s="90"/>
      <c r="P102" s="38">
        <f>IF(H102&gt;I102,1,0)+IF(J102&gt;K102,1,0)+IF(L102&gt;M102,1,0)</f>
        <v>2</v>
      </c>
      <c r="Q102" s="88">
        <f>IF(I102&gt;H102,1,0)+IF(K102&gt;J102,1,0)+IF(M102&gt;L102,1,0)</f>
        <v>0</v>
      </c>
      <c r="R102" s="45"/>
      <c r="S102" s="38">
        <f>H102+J102+L102</f>
        <v>50</v>
      </c>
      <c r="T102" s="91">
        <f>I102+K102+M102</f>
        <v>22</v>
      </c>
      <c r="U102" s="36"/>
      <c r="V102" s="47" t="s">
        <v>92</v>
      </c>
      <c r="Y102" s="44" t="str">
        <f>B104</f>
        <v>CD 71-2</v>
      </c>
      <c r="Z102">
        <f>IF(Q100&gt;P100,2,1)+IF(P105&gt;Q105,2,1)+IF(P106&gt;Q106,2,1)</f>
        <v>3</v>
      </c>
      <c r="AA102">
        <f>Q100+P105+P106</f>
        <v>0</v>
      </c>
      <c r="AB102">
        <f>P100+Q105+Q106</f>
        <v>6</v>
      </c>
      <c r="AC102" s="39">
        <f t="shared" ref="AC102:AC104" si="45">IF(AB102=0,"MAX",AA102/AB102)</f>
        <v>0</v>
      </c>
      <c r="AD102">
        <f>T100+S105+S106</f>
        <v>73</v>
      </c>
      <c r="AE102">
        <f>S100+T105+T106</f>
        <v>150</v>
      </c>
      <c r="AF102" s="39">
        <f t="shared" ref="AF102:AF104" si="46">IF(AE102=0,"MAX",AD102/AE102)</f>
        <v>0.48666666666666669</v>
      </c>
    </row>
    <row r="103" spans="1:32" ht="20.100000000000001" customHeight="1" x14ac:dyDescent="0.3">
      <c r="A103" s="25">
        <v>3</v>
      </c>
      <c r="B103" s="51" t="s">
        <v>95</v>
      </c>
      <c r="F103" s="40"/>
      <c r="G103" s="78" t="s">
        <v>83</v>
      </c>
      <c r="H103" s="78"/>
      <c r="I103" s="78"/>
      <c r="J103" s="78"/>
      <c r="K103" s="78"/>
      <c r="L103" s="78"/>
      <c r="M103" s="78"/>
      <c r="N103" s="78"/>
      <c r="O103" s="31"/>
      <c r="P103" s="79"/>
      <c r="Q103" s="79"/>
      <c r="R103" s="45"/>
      <c r="S103" s="79"/>
      <c r="T103" s="80"/>
      <c r="U103" s="81"/>
      <c r="V103" s="82"/>
      <c r="Y103" s="51" t="str">
        <f>B103</f>
        <v>KINGERSHEIM 2</v>
      </c>
      <c r="Z103">
        <f>IF(P104&gt;Q104,2,1)+IF(Q101&gt;P101,2,1)+IF(Q106&gt;P106,2,1)</f>
        <v>5</v>
      </c>
      <c r="AA103">
        <f>P104+Q101+Q106</f>
        <v>4</v>
      </c>
      <c r="AB103">
        <f>Q104+P101+P106</f>
        <v>3</v>
      </c>
      <c r="AC103" s="39">
        <f t="shared" si="45"/>
        <v>1.3333333333333333</v>
      </c>
      <c r="AD103">
        <f>S104+T101+T106</f>
        <v>133</v>
      </c>
      <c r="AE103">
        <f>T104+S101+S106</f>
        <v>135</v>
      </c>
      <c r="AF103" s="39">
        <f t="shared" si="46"/>
        <v>0.98518518518518516</v>
      </c>
    </row>
    <row r="104" spans="1:32" ht="20.100000000000001" customHeight="1" x14ac:dyDescent="0.3">
      <c r="A104" s="25">
        <v>4</v>
      </c>
      <c r="B104" s="44" t="s">
        <v>96</v>
      </c>
      <c r="F104" s="92" t="s">
        <v>23</v>
      </c>
      <c r="G104" s="48" t="str">
        <f>B103</f>
        <v>KINGERSHEIM 2</v>
      </c>
      <c r="H104" s="42">
        <v>23</v>
      </c>
      <c r="I104" s="42">
        <v>25</v>
      </c>
      <c r="J104" s="42">
        <v>25</v>
      </c>
      <c r="K104" s="42">
        <v>20</v>
      </c>
      <c r="L104" s="42">
        <v>15</v>
      </c>
      <c r="M104" s="42">
        <v>12</v>
      </c>
      <c r="N104" s="89" t="str">
        <f>B102</f>
        <v>CD 67</v>
      </c>
      <c r="O104" s="31"/>
      <c r="P104" s="49">
        <f>IF(H104&gt;I104,1,0)+IF(J104&gt;K104,1,0)+IF(L104&gt;M104,1,0)</f>
        <v>2</v>
      </c>
      <c r="Q104" s="88">
        <f>IF(I104&gt;H104,1,0)+IF(K104&gt;J104,1,0)+IF(M104&gt;L104,1,0)</f>
        <v>1</v>
      </c>
      <c r="R104" s="45"/>
      <c r="S104" s="49">
        <f>H104+J104+L104</f>
        <v>63</v>
      </c>
      <c r="T104" s="91">
        <f>I104+K104+M104</f>
        <v>57</v>
      </c>
      <c r="U104" s="36"/>
      <c r="V104" s="47" t="s">
        <v>92</v>
      </c>
      <c r="Y104" s="88" t="str">
        <f>B102</f>
        <v>CD 67</v>
      </c>
      <c r="Z104">
        <f>IF(Q104&gt;P104,2,1)+IF(Q105&gt;P105,2,1)+IF(Q102&gt;P102,2,1)</f>
        <v>4</v>
      </c>
      <c r="AA104">
        <f>Q104+Q105+Q102</f>
        <v>3</v>
      </c>
      <c r="AB104">
        <f>P104+P105+P102</f>
        <v>4</v>
      </c>
      <c r="AC104" s="39">
        <f t="shared" si="45"/>
        <v>0.75</v>
      </c>
      <c r="AD104">
        <f>T104+T105+T102</f>
        <v>129</v>
      </c>
      <c r="AE104">
        <f>S104+S105+S102</f>
        <v>144</v>
      </c>
      <c r="AF104" s="39">
        <f t="shared" si="46"/>
        <v>0.89583333333333337</v>
      </c>
    </row>
    <row r="105" spans="1:32" ht="20.100000000000001" customHeight="1" x14ac:dyDescent="0.3">
      <c r="F105" s="40" t="s">
        <v>25</v>
      </c>
      <c r="G105" s="43" t="str">
        <f>B104</f>
        <v>CD 71-2</v>
      </c>
      <c r="H105" s="42">
        <v>14</v>
      </c>
      <c r="I105" s="42">
        <v>25</v>
      </c>
      <c r="J105" s="42">
        <v>17</v>
      </c>
      <c r="K105" s="42">
        <v>25</v>
      </c>
      <c r="L105" s="42"/>
      <c r="M105" s="42"/>
      <c r="N105" s="89" t="str">
        <f>B102</f>
        <v>CD 67</v>
      </c>
      <c r="O105" s="93"/>
      <c r="P105" s="44">
        <f>IF(H105&gt;I105,1,0)+IF(J105&gt;K105,1,0)+IF(L105&gt;M105,1,0)</f>
        <v>0</v>
      </c>
      <c r="Q105" s="88">
        <f>IF(I105&gt;H105,1,0)+IF(K105&gt;J105,1,0)+IF(M105&gt;L105,1,0)</f>
        <v>2</v>
      </c>
      <c r="R105" s="45"/>
      <c r="S105" s="44">
        <f>H105+J105+L105</f>
        <v>31</v>
      </c>
      <c r="T105" s="91">
        <f>I105+K105+M105</f>
        <v>50</v>
      </c>
      <c r="U105" s="36"/>
      <c r="V105" s="47" t="s">
        <v>92</v>
      </c>
    </row>
    <row r="106" spans="1:32" ht="20.100000000000001" customHeight="1" thickBot="1" x14ac:dyDescent="0.35">
      <c r="F106" s="68" t="s">
        <v>32</v>
      </c>
      <c r="G106" s="94" t="str">
        <f>B104</f>
        <v>CD 71-2</v>
      </c>
      <c r="H106" s="54">
        <v>13</v>
      </c>
      <c r="I106" s="54">
        <v>25</v>
      </c>
      <c r="J106" s="54">
        <v>15</v>
      </c>
      <c r="K106" s="54">
        <v>25</v>
      </c>
      <c r="L106" s="54"/>
      <c r="M106" s="54"/>
      <c r="N106" s="95" t="str">
        <f>B103</f>
        <v>KINGERSHEIM 2</v>
      </c>
      <c r="O106" s="96"/>
      <c r="P106" s="67">
        <f>IF(H106&gt;I106,1,0)+IF(J106&gt;K106,1,0)+IF(L106&gt;M106,1,0)</f>
        <v>0</v>
      </c>
      <c r="Q106" s="58">
        <f>IF(I106&gt;H106,1,0)+IF(K106&gt;J106,1,0)+IF(M106&gt;L106,1,0)</f>
        <v>2</v>
      </c>
      <c r="R106" s="59"/>
      <c r="S106" s="67">
        <f t="shared" ref="S106:T106" si="47">H106+J106+L106</f>
        <v>28</v>
      </c>
      <c r="T106" s="60">
        <f t="shared" si="47"/>
        <v>50</v>
      </c>
      <c r="U106" s="36"/>
      <c r="V106" s="62" t="s">
        <v>92</v>
      </c>
    </row>
    <row r="107" spans="1:32" ht="5.0999999999999996" customHeight="1" thickBot="1" x14ac:dyDescent="0.35"/>
    <row r="108" spans="1:32" ht="39.9" customHeight="1" x14ac:dyDescent="0.3">
      <c r="F108" s="2" t="s"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4"/>
    </row>
    <row r="109" spans="1:32" ht="39.9" customHeight="1" x14ac:dyDescent="0.3">
      <c r="F109" s="6" t="s">
        <v>97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8"/>
    </row>
    <row r="110" spans="1:32" ht="30" customHeight="1" thickBot="1" x14ac:dyDescent="0.35">
      <c r="F110" s="9" t="s">
        <v>2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1"/>
    </row>
    <row r="111" spans="1:32" ht="20.100000000000001" customHeight="1" x14ac:dyDescent="0.3">
      <c r="A111" s="70"/>
    </row>
    <row r="112" spans="1:32" ht="20.100000000000001" customHeight="1" thickBot="1" x14ac:dyDescent="0.4">
      <c r="F112" s="13" t="s">
        <v>98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32" ht="20.100000000000001" customHeight="1" thickBot="1" x14ac:dyDescent="0.35">
      <c r="F113" s="14" t="s">
        <v>4</v>
      </c>
      <c r="G113" s="15" t="s">
        <v>5</v>
      </c>
      <c r="H113" s="16"/>
      <c r="I113" s="16"/>
      <c r="J113" s="16"/>
      <c r="K113" s="16"/>
      <c r="L113" s="16"/>
      <c r="M113" s="16"/>
      <c r="N113" s="16"/>
      <c r="O113" s="17"/>
      <c r="P113" s="18" t="s">
        <v>6</v>
      </c>
      <c r="Q113" s="19"/>
      <c r="R113" s="20"/>
      <c r="S113" s="18" t="s">
        <v>7</v>
      </c>
      <c r="T113" s="21"/>
      <c r="U113" s="22"/>
      <c r="V113" s="23" t="s">
        <v>8</v>
      </c>
      <c r="Z113" s="24" t="s">
        <v>9</v>
      </c>
      <c r="AA113" s="24" t="s">
        <v>10</v>
      </c>
      <c r="AB113" s="24" t="s">
        <v>11</v>
      </c>
      <c r="AC113" s="24" t="s">
        <v>12</v>
      </c>
      <c r="AD113" s="24" t="s">
        <v>13</v>
      </c>
      <c r="AE113" s="24" t="s">
        <v>14</v>
      </c>
      <c r="AF113" s="24" t="s">
        <v>15</v>
      </c>
    </row>
    <row r="114" spans="1:32" ht="20.100000000000001" customHeight="1" x14ac:dyDescent="0.3">
      <c r="A114" s="25"/>
      <c r="B114" s="26" t="s">
        <v>99</v>
      </c>
      <c r="F114" s="27"/>
      <c r="G114" s="28"/>
      <c r="H114" s="29" t="s">
        <v>17</v>
      </c>
      <c r="I114" s="30"/>
      <c r="J114" s="29" t="s">
        <v>18</v>
      </c>
      <c r="K114" s="30"/>
      <c r="L114" s="29" t="s">
        <v>19</v>
      </c>
      <c r="M114" s="30"/>
      <c r="N114" s="28"/>
      <c r="O114" s="31"/>
      <c r="P114" s="32"/>
      <c r="Q114" s="33"/>
      <c r="R114" s="34"/>
      <c r="S114" s="32"/>
      <c r="T114" s="35"/>
      <c r="U114" s="36"/>
      <c r="V114" s="37"/>
      <c r="Y114" s="38" t="str">
        <f>B115</f>
        <v>ZANDHOVEN 1</v>
      </c>
      <c r="Z114">
        <f>+IF(P115&gt;Q115,2,1)+IF(P117&gt;Q117,2,1)</f>
        <v>4</v>
      </c>
      <c r="AA114">
        <f>+P115+P117</f>
        <v>4</v>
      </c>
      <c r="AB114">
        <f>+Q115+Q117</f>
        <v>0</v>
      </c>
      <c r="AC114" s="39" t="str">
        <f>IF(AB114=0,"MAX",AA114/AB114)</f>
        <v>MAX</v>
      </c>
      <c r="AD114">
        <f>+S115+S117</f>
        <v>100</v>
      </c>
      <c r="AE114">
        <f>+T115+T117</f>
        <v>44</v>
      </c>
      <c r="AF114" s="39">
        <f>IF(AE114=0,"MAX",AD114/AE114)</f>
        <v>2.2727272727272729</v>
      </c>
    </row>
    <row r="115" spans="1:32" ht="20.100000000000001" customHeight="1" x14ac:dyDescent="0.3">
      <c r="A115" s="25">
        <v>1</v>
      </c>
      <c r="B115" s="38" t="str">
        <f>IF('[1]classement poule 1ère phase'!B166="","1ER 1ER",'[1]classement poule 1ère phase'!B166)</f>
        <v>ZANDHOVEN 1</v>
      </c>
      <c r="F115" s="40" t="s">
        <v>100</v>
      </c>
      <c r="G115" s="41" t="str">
        <f>B115</f>
        <v>ZANDHOVEN 1</v>
      </c>
      <c r="H115" s="42">
        <v>25</v>
      </c>
      <c r="I115" s="42">
        <v>7</v>
      </c>
      <c r="J115" s="42">
        <v>25</v>
      </c>
      <c r="K115" s="42">
        <v>13</v>
      </c>
      <c r="L115" s="42"/>
      <c r="M115" s="42"/>
      <c r="N115" s="43" t="str">
        <f>B116</f>
        <v>ZANHOVEN 2</v>
      </c>
      <c r="O115" s="31"/>
      <c r="P115" s="38">
        <f>IF(H115&gt;I115,1,0)+IF(J115&gt;K115,1,0)+IF(L115&gt;M115,1,0)</f>
        <v>2</v>
      </c>
      <c r="Q115" s="44">
        <f>IF(I115&gt;H115,1,0)+IF(K115&gt;J115,1,0)+IF(M115&gt;L115,1,0)</f>
        <v>0</v>
      </c>
      <c r="R115" s="45"/>
      <c r="S115" s="38">
        <f>H115+J115+L115</f>
        <v>50</v>
      </c>
      <c r="T115" s="46">
        <f>I115+K115+M115</f>
        <v>20</v>
      </c>
      <c r="U115" s="36"/>
      <c r="V115" s="47" t="str">
        <f>B117</f>
        <v>CD 68-3</v>
      </c>
      <c r="Y115" s="44" t="str">
        <f>B116</f>
        <v>ZANHOVEN 2</v>
      </c>
      <c r="Z115">
        <f>+IF(Q115&gt;P115,2,1)+IF(P116&gt;Q116,2,1)</f>
        <v>3</v>
      </c>
      <c r="AA115">
        <f>+Q115+P116</f>
        <v>2</v>
      </c>
      <c r="AB115">
        <f>+P115+Q116</f>
        <v>2</v>
      </c>
      <c r="AC115" s="39">
        <f t="shared" ref="AC115:AC116" si="48">IF(AB115=0,"MAX",AA115/AB115)</f>
        <v>1</v>
      </c>
      <c r="AD115">
        <f>+T115+S116</f>
        <v>70</v>
      </c>
      <c r="AE115">
        <f>+S115+T116</f>
        <v>89</v>
      </c>
      <c r="AF115" s="39">
        <f t="shared" ref="AF115:AF116" si="49">IF(AE115=0,"MAX",AD115/AE115)</f>
        <v>0.7865168539325843</v>
      </c>
    </row>
    <row r="116" spans="1:32" ht="20.100000000000001" customHeight="1" x14ac:dyDescent="0.3">
      <c r="A116" s="25">
        <v>2</v>
      </c>
      <c r="B116" s="44" t="str">
        <f>IF('[1]classement poule 1ère phase'!B185="","5EME 2EME",'[1]classement poule 1ère phase'!B185)</f>
        <v>ZANHOVEN 2</v>
      </c>
      <c r="F116" s="40" t="s">
        <v>101</v>
      </c>
      <c r="G116" s="43" t="str">
        <f>B116</f>
        <v>ZANHOVEN 2</v>
      </c>
      <c r="H116" s="42">
        <v>25</v>
      </c>
      <c r="I116" s="42">
        <v>18</v>
      </c>
      <c r="J116" s="42">
        <v>25</v>
      </c>
      <c r="K116" s="42">
        <v>21</v>
      </c>
      <c r="L116" s="42"/>
      <c r="M116" s="42"/>
      <c r="N116" s="48" t="str">
        <f>B117</f>
        <v>CD 68-3</v>
      </c>
      <c r="O116" s="31"/>
      <c r="P116" s="44">
        <f t="shared" ref="P116" si="50">IF(H116&gt;I116,1,0)+IF(J116&gt;K116,1,0)+IF(L116&gt;M116,1,0)</f>
        <v>2</v>
      </c>
      <c r="Q116" s="49">
        <f>IF(I116&gt;H116,1,0)+IF(K116&gt;J116,1,0)+IF(M116&gt;L116,1,0)</f>
        <v>0</v>
      </c>
      <c r="R116" s="45"/>
      <c r="S116" s="44">
        <f t="shared" ref="S116:T116" si="51">H116+J116+L116</f>
        <v>50</v>
      </c>
      <c r="T116" s="50">
        <f t="shared" si="51"/>
        <v>39</v>
      </c>
      <c r="U116" s="36"/>
      <c r="V116" s="47" t="str">
        <f>B115</f>
        <v>ZANDHOVEN 1</v>
      </c>
      <c r="Y116" s="51" t="str">
        <f>B117</f>
        <v>CD 68-3</v>
      </c>
      <c r="Z116">
        <f>+IF(Q117&gt;P117,2,1)+IF(Q116&gt;P116,2,1)</f>
        <v>2</v>
      </c>
      <c r="AA116">
        <f>+Q117+Q116</f>
        <v>0</v>
      </c>
      <c r="AB116">
        <f>+P117+P116</f>
        <v>4</v>
      </c>
      <c r="AC116" s="39">
        <f t="shared" si="48"/>
        <v>0</v>
      </c>
      <c r="AD116">
        <f>+T117+T116</f>
        <v>63</v>
      </c>
      <c r="AE116">
        <f>+S117+S116</f>
        <v>100</v>
      </c>
      <c r="AF116" s="39">
        <f t="shared" si="49"/>
        <v>0.63</v>
      </c>
    </row>
    <row r="117" spans="1:32" ht="20.100000000000001" customHeight="1" thickBot="1" x14ac:dyDescent="0.35">
      <c r="A117" s="25">
        <v>3</v>
      </c>
      <c r="B117" s="51" t="str">
        <f>IF('[1]classement poule 1ère phase'!B184="","4EME 2EME",'[1]classement poule 1ère phase'!B184)</f>
        <v>CD 68-3</v>
      </c>
      <c r="F117" s="52" t="s">
        <v>102</v>
      </c>
      <c r="G117" s="53" t="str">
        <f>B115</f>
        <v>ZANDHOVEN 1</v>
      </c>
      <c r="H117" s="54">
        <v>25</v>
      </c>
      <c r="I117" s="54">
        <v>6</v>
      </c>
      <c r="J117" s="54">
        <v>25</v>
      </c>
      <c r="K117" s="54">
        <v>18</v>
      </c>
      <c r="L117" s="54"/>
      <c r="M117" s="54"/>
      <c r="N117" s="55" t="str">
        <f>B117</f>
        <v>CD 68-3</v>
      </c>
      <c r="O117" s="56"/>
      <c r="P117" s="57">
        <f>IF(H117&gt;I117,1,0)+IF(J117&gt;K117,1,0)+IF(L117&gt;M117,1,0)</f>
        <v>2</v>
      </c>
      <c r="Q117" s="58">
        <f>IF(I117&gt;H117,1,0)+IF(K117&gt;J117,1,0)+IF(M117&gt;L117,1,0)</f>
        <v>0</v>
      </c>
      <c r="R117" s="59"/>
      <c r="S117" s="57">
        <f>H117+J117+L117</f>
        <v>50</v>
      </c>
      <c r="T117" s="60">
        <f>I117+K117+M117</f>
        <v>24</v>
      </c>
      <c r="U117" s="61"/>
      <c r="V117" s="62" t="str">
        <f>B116</f>
        <v>ZANHOVEN 2</v>
      </c>
    </row>
    <row r="118" spans="1:32" ht="20.100000000000001" customHeight="1" x14ac:dyDescent="0.4">
      <c r="V118" s="12"/>
    </row>
    <row r="119" spans="1:32" ht="20.100000000000001" customHeight="1" thickBot="1" x14ac:dyDescent="0.4">
      <c r="F119" s="13" t="s">
        <v>103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32" ht="20.100000000000001" customHeight="1" thickBot="1" x14ac:dyDescent="0.35">
      <c r="F120" s="14" t="s">
        <v>4</v>
      </c>
      <c r="G120" s="15" t="s">
        <v>27</v>
      </c>
      <c r="H120" s="16"/>
      <c r="I120" s="16"/>
      <c r="J120" s="16"/>
      <c r="K120" s="16"/>
      <c r="L120" s="16"/>
      <c r="M120" s="16"/>
      <c r="N120" s="16"/>
      <c r="O120" s="17"/>
      <c r="P120" s="18" t="s">
        <v>6</v>
      </c>
      <c r="Q120" s="19"/>
      <c r="R120" s="20"/>
      <c r="S120" s="18" t="s">
        <v>7</v>
      </c>
      <c r="T120" s="63"/>
      <c r="U120" s="22"/>
      <c r="V120" s="23" t="s">
        <v>8</v>
      </c>
      <c r="Z120" s="24" t="s">
        <v>9</v>
      </c>
      <c r="AA120" s="24" t="s">
        <v>10</v>
      </c>
      <c r="AB120" s="24" t="s">
        <v>11</v>
      </c>
      <c r="AC120" s="24" t="s">
        <v>12</v>
      </c>
      <c r="AD120" s="24" t="s">
        <v>13</v>
      </c>
      <c r="AE120" s="24" t="s">
        <v>14</v>
      </c>
      <c r="AF120" s="24" t="s">
        <v>15</v>
      </c>
    </row>
    <row r="121" spans="1:32" ht="20.100000000000001" customHeight="1" x14ac:dyDescent="0.3">
      <c r="A121" s="64"/>
      <c r="B121" s="26" t="s">
        <v>104</v>
      </c>
      <c r="F121" s="65"/>
      <c r="G121" s="28"/>
      <c r="H121" s="29" t="s">
        <v>17</v>
      </c>
      <c r="I121" s="30"/>
      <c r="J121" s="29" t="s">
        <v>18</v>
      </c>
      <c r="K121" s="30"/>
      <c r="L121" s="29" t="s">
        <v>19</v>
      </c>
      <c r="M121" s="30"/>
      <c r="N121" s="28"/>
      <c r="O121" s="31"/>
      <c r="P121" s="32"/>
      <c r="Q121" s="33"/>
      <c r="R121" s="34"/>
      <c r="S121" s="32"/>
      <c r="T121" s="66"/>
      <c r="U121" s="36"/>
      <c r="V121" s="37"/>
      <c r="Y121" s="38" t="str">
        <f>B122</f>
        <v>THIMISTER 1</v>
      </c>
      <c r="Z121">
        <f>+IF(P122&gt;Q122,2,1)+IF(P124&gt;Q124,2,1)</f>
        <v>4</v>
      </c>
      <c r="AA121">
        <f>+P122+P124</f>
        <v>4</v>
      </c>
      <c r="AB121">
        <f>+Q122+Q124</f>
        <v>0</v>
      </c>
      <c r="AC121" s="39" t="str">
        <f>IF(AB121=0,"MAX",AA121/AB121)</f>
        <v>MAX</v>
      </c>
      <c r="AD121">
        <f>+S122+S124</f>
        <v>100</v>
      </c>
      <c r="AE121">
        <f>+T122+T124</f>
        <v>64</v>
      </c>
      <c r="AF121" s="39">
        <f>IF(AE121=0,"MAX",AD121/AE121)</f>
        <v>1.5625</v>
      </c>
    </row>
    <row r="122" spans="1:32" ht="20.100000000000001" customHeight="1" x14ac:dyDescent="0.3">
      <c r="A122" s="25">
        <v>1</v>
      </c>
      <c r="B122" s="38" t="str">
        <f>IF('[1]classement poule 1ère phase'!B167="","2EME 1ER",'[1]classement poule 1ère phase'!B167)</f>
        <v>THIMISTER 1</v>
      </c>
      <c r="F122" s="40" t="s">
        <v>100</v>
      </c>
      <c r="G122" s="41" t="str">
        <f>B122</f>
        <v>THIMISTER 1</v>
      </c>
      <c r="H122" s="42">
        <v>25</v>
      </c>
      <c r="I122" s="42">
        <v>10</v>
      </c>
      <c r="J122" s="42">
        <v>25</v>
      </c>
      <c r="K122" s="42">
        <v>10</v>
      </c>
      <c r="L122" s="42"/>
      <c r="M122" s="42"/>
      <c r="N122" s="43" t="str">
        <f>B123</f>
        <v>LE TOUQUET</v>
      </c>
      <c r="O122" s="31"/>
      <c r="P122" s="38">
        <f>IF(H122&gt;I122,1,0)+IF(J122&gt;K122,1,0)+IF(L122&gt;M122,1,0)</f>
        <v>2</v>
      </c>
      <c r="Q122" s="44">
        <f>IF(I122&gt;H122,1,0)+IF(K122&gt;J122,1,0)+IF(M122&gt;L122,1,0)</f>
        <v>0</v>
      </c>
      <c r="R122" s="45"/>
      <c r="S122" s="38">
        <f>H122+J122+L122</f>
        <v>50</v>
      </c>
      <c r="T122" s="46">
        <f>I122+K122+M122</f>
        <v>20</v>
      </c>
      <c r="U122" s="36"/>
      <c r="V122" s="47" t="str">
        <f>B124</f>
        <v>WEISSWASSER</v>
      </c>
      <c r="Y122" s="44" t="str">
        <f>B123</f>
        <v>LE TOUQUET</v>
      </c>
      <c r="Z122">
        <f>+IF(Q122&gt;P122,2,1)+IF(P123&gt;Q123,2,1)</f>
        <v>3</v>
      </c>
      <c r="AA122">
        <f>+Q122+P123</f>
        <v>2</v>
      </c>
      <c r="AB122">
        <f>+P122+Q123</f>
        <v>3</v>
      </c>
      <c r="AC122" s="39">
        <f t="shared" ref="AC122:AC123" si="52">IF(AB122=0,"MAX",AA122/AB122)</f>
        <v>0.66666666666666663</v>
      </c>
      <c r="AD122">
        <f>+T122+S123</f>
        <v>80</v>
      </c>
      <c r="AE122">
        <f>+S122+T123</f>
        <v>106</v>
      </c>
      <c r="AF122" s="39">
        <f t="shared" ref="AF122:AF123" si="53">IF(AE122=0,"MAX",AD122/AE122)</f>
        <v>0.75471698113207553</v>
      </c>
    </row>
    <row r="123" spans="1:32" ht="20.100000000000001" customHeight="1" thickBot="1" x14ac:dyDescent="0.35">
      <c r="A123" s="25">
        <v>2</v>
      </c>
      <c r="B123" s="44" t="str">
        <f>IF('[1]classement poule 1ère phase'!B186="","6EME 2EME",'[1]classement poule 1ère phase'!B186)</f>
        <v>LE TOUQUET</v>
      </c>
      <c r="F123" s="40" t="s">
        <v>101</v>
      </c>
      <c r="G123" s="43" t="str">
        <f>B123</f>
        <v>LE TOUQUET</v>
      </c>
      <c r="H123" s="42">
        <v>20</v>
      </c>
      <c r="I123" s="42">
        <v>25</v>
      </c>
      <c r="J123" s="42">
        <v>25</v>
      </c>
      <c r="K123" s="42">
        <v>18</v>
      </c>
      <c r="L123" s="42">
        <v>15</v>
      </c>
      <c r="M123" s="42">
        <v>13</v>
      </c>
      <c r="N123" s="48" t="str">
        <f>B124</f>
        <v>WEISSWASSER</v>
      </c>
      <c r="O123" s="56"/>
      <c r="P123" s="67">
        <f t="shared" ref="P123" si="54">IF(H123&gt;I123,1,0)+IF(J123&gt;K123,1,0)+IF(L123&gt;M123,1,0)</f>
        <v>2</v>
      </c>
      <c r="Q123" s="58">
        <f t="shared" ref="Q123" si="55">IF(I123&gt;H123,1,0)+IF(K123&gt;J123,1,0)+IF(M123&gt;L123,1,0)</f>
        <v>1</v>
      </c>
      <c r="R123" s="59"/>
      <c r="S123" s="67">
        <f t="shared" ref="S123:T123" si="56">H123+J123+L123</f>
        <v>60</v>
      </c>
      <c r="T123" s="60">
        <f t="shared" si="56"/>
        <v>56</v>
      </c>
      <c r="U123" s="61"/>
      <c r="V123" s="47" t="str">
        <f>B122</f>
        <v>THIMISTER 1</v>
      </c>
      <c r="Y123" s="51" t="str">
        <f>B124</f>
        <v>WEISSWASSER</v>
      </c>
      <c r="Z123">
        <f>+IF(Q124&gt;P124,2,1)+IF(Q123&gt;P123,2,1)</f>
        <v>2</v>
      </c>
      <c r="AA123">
        <f>+Q124+Q123</f>
        <v>1</v>
      </c>
      <c r="AB123">
        <f>+P124+P123</f>
        <v>4</v>
      </c>
      <c r="AC123" s="39">
        <f t="shared" si="52"/>
        <v>0.25</v>
      </c>
      <c r="AD123">
        <f>+T124+T123</f>
        <v>100</v>
      </c>
      <c r="AE123">
        <f>+S124+S123</f>
        <v>110</v>
      </c>
      <c r="AF123" s="39">
        <f t="shared" si="53"/>
        <v>0.90909090909090906</v>
      </c>
    </row>
    <row r="124" spans="1:32" ht="20.100000000000001" customHeight="1" thickBot="1" x14ac:dyDescent="0.35">
      <c r="A124" s="25">
        <v>3</v>
      </c>
      <c r="B124" s="51" t="str">
        <f>IF('[1]classement poule 1ère phase'!B183="","3EME 2EME",'[1]classement poule 1ère phase'!B183)</f>
        <v>WEISSWASSER</v>
      </c>
      <c r="F124" s="68" t="s">
        <v>102</v>
      </c>
      <c r="G124" s="53" t="str">
        <f>B122</f>
        <v>THIMISTER 1</v>
      </c>
      <c r="H124" s="54">
        <v>25</v>
      </c>
      <c r="I124" s="54">
        <v>22</v>
      </c>
      <c r="J124" s="54">
        <v>25</v>
      </c>
      <c r="K124" s="54">
        <v>22</v>
      </c>
      <c r="L124" s="54"/>
      <c r="M124" s="54"/>
      <c r="N124" s="55" t="str">
        <f>B124</f>
        <v>WEISSWASSER</v>
      </c>
      <c r="O124" s="56"/>
      <c r="P124" s="57">
        <f>IF(H124&gt;I124,1,0)+IF(J124&gt;K124,1,0)+IF(L124&gt;M124,1,0)</f>
        <v>2</v>
      </c>
      <c r="Q124" s="58">
        <f>IF(I124&gt;H124,1,0)+IF(K124&gt;J124,1,0)+IF(M124&gt;L124,1,0)</f>
        <v>0</v>
      </c>
      <c r="R124" s="59"/>
      <c r="S124" s="57">
        <f>H124+J124+L124</f>
        <v>50</v>
      </c>
      <c r="T124" s="60">
        <f>I124+K124+M124</f>
        <v>44</v>
      </c>
      <c r="U124" s="61"/>
      <c r="V124" s="62" t="str">
        <f>B123</f>
        <v>LE TOUQUET</v>
      </c>
    </row>
    <row r="125" spans="1:32" ht="20.100000000000001" customHeight="1" x14ac:dyDescent="0.3">
      <c r="A125" s="69"/>
      <c r="B125" s="69"/>
      <c r="C125" s="70"/>
      <c r="D125" s="70"/>
      <c r="E125" s="70"/>
      <c r="F125" s="71"/>
      <c r="G125" s="72"/>
      <c r="H125" s="72"/>
      <c r="I125" s="72"/>
      <c r="J125" s="72"/>
      <c r="K125" s="72"/>
      <c r="L125" s="72"/>
      <c r="M125" s="72"/>
      <c r="N125" s="72"/>
      <c r="O125" s="71"/>
      <c r="P125" s="69"/>
      <c r="Q125" s="69"/>
      <c r="R125" s="69"/>
      <c r="S125" s="69"/>
      <c r="T125" s="69"/>
      <c r="U125" s="71"/>
      <c r="V125" s="73"/>
    </row>
    <row r="126" spans="1:32" ht="20.100000000000001" customHeight="1" thickBot="1" x14ac:dyDescent="0.4">
      <c r="F126" s="13" t="s">
        <v>105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32" ht="20.100000000000001" customHeight="1" thickBot="1" x14ac:dyDescent="0.35">
      <c r="F127" s="14" t="s">
        <v>4</v>
      </c>
      <c r="G127" s="15" t="s">
        <v>40</v>
      </c>
      <c r="H127" s="16"/>
      <c r="I127" s="16"/>
      <c r="J127" s="16"/>
      <c r="K127" s="16"/>
      <c r="L127" s="16"/>
      <c r="M127" s="16"/>
      <c r="N127" s="16"/>
      <c r="O127" s="17"/>
      <c r="P127" s="18" t="s">
        <v>6</v>
      </c>
      <c r="Q127" s="19"/>
      <c r="R127" s="20"/>
      <c r="S127" s="18" t="s">
        <v>7</v>
      </c>
      <c r="T127" s="21"/>
      <c r="U127" s="22"/>
      <c r="V127" s="23" t="s">
        <v>8</v>
      </c>
      <c r="Z127" s="24" t="s">
        <v>9</v>
      </c>
      <c r="AA127" s="24" t="s">
        <v>10</v>
      </c>
      <c r="AB127" s="24" t="s">
        <v>11</v>
      </c>
      <c r="AC127" s="24" t="s">
        <v>12</v>
      </c>
      <c r="AD127" s="24" t="s">
        <v>13</v>
      </c>
      <c r="AE127" s="24" t="s">
        <v>14</v>
      </c>
      <c r="AF127" s="24" t="s">
        <v>15</v>
      </c>
    </row>
    <row r="128" spans="1:32" ht="20.100000000000001" customHeight="1" x14ac:dyDescent="0.3">
      <c r="A128" s="25"/>
      <c r="B128" s="26" t="s">
        <v>106</v>
      </c>
      <c r="F128" s="27"/>
      <c r="G128" s="28"/>
      <c r="H128" s="29" t="s">
        <v>17</v>
      </c>
      <c r="I128" s="30"/>
      <c r="J128" s="29" t="s">
        <v>18</v>
      </c>
      <c r="K128" s="30"/>
      <c r="L128" s="29" t="s">
        <v>19</v>
      </c>
      <c r="M128" s="30"/>
      <c r="N128" s="28"/>
      <c r="O128" s="31"/>
      <c r="P128" s="32"/>
      <c r="Q128" s="33"/>
      <c r="R128" s="34"/>
      <c r="S128" s="32"/>
      <c r="T128" s="35"/>
      <c r="U128" s="36"/>
      <c r="V128" s="37"/>
      <c r="Y128" s="38" t="str">
        <f>B129</f>
        <v>CD 68-2</v>
      </c>
      <c r="Z128">
        <f>+IF(P129&gt;Q129,2,1)+IF(P131&gt;Q131,2,1)</f>
        <v>4</v>
      </c>
      <c r="AA128">
        <f>+P129+P131</f>
        <v>4</v>
      </c>
      <c r="AB128">
        <f>+Q129+Q131</f>
        <v>0</v>
      </c>
      <c r="AC128" s="39" t="str">
        <f>IF(AB128=0,"MAX",AA128/AB128)</f>
        <v>MAX</v>
      </c>
      <c r="AD128">
        <f>+S129+S131</f>
        <v>100</v>
      </c>
      <c r="AE128">
        <f>+T129+T131</f>
        <v>61</v>
      </c>
      <c r="AF128" s="39">
        <f>IF(AE128=0,"MAX",AD128/AE128)</f>
        <v>1.639344262295082</v>
      </c>
    </row>
    <row r="129" spans="1:32" ht="20.100000000000001" customHeight="1" x14ac:dyDescent="0.3">
      <c r="A129" s="25">
        <v>1</v>
      </c>
      <c r="B129" s="38" t="str">
        <f>IF('[1]classement poule 1ère phase'!B168="","3EME 1ER",'[1]classement poule 1ère phase'!B168)</f>
        <v>CD 68-2</v>
      </c>
      <c r="F129" s="40" t="s">
        <v>100</v>
      </c>
      <c r="G129" s="41" t="str">
        <f>B129</f>
        <v>CD 68-2</v>
      </c>
      <c r="H129" s="42">
        <v>25</v>
      </c>
      <c r="I129" s="42">
        <v>13</v>
      </c>
      <c r="J129" s="42">
        <v>25</v>
      </c>
      <c r="K129" s="42">
        <v>14</v>
      </c>
      <c r="L129" s="42"/>
      <c r="M129" s="42"/>
      <c r="N129" s="43" t="str">
        <f>B130</f>
        <v>KINGERSHEIM 1</v>
      </c>
      <c r="O129" s="31"/>
      <c r="P129" s="38">
        <f>IF(H129&gt;I129,1,0)+IF(J129&gt;K129,1,0)+IF(L129&gt;M129,1,0)</f>
        <v>2</v>
      </c>
      <c r="Q129" s="44">
        <f>IF(I129&gt;H129,1,0)+IF(K129&gt;J129,1,0)+IF(M129&gt;L129,1,0)</f>
        <v>0</v>
      </c>
      <c r="R129" s="45"/>
      <c r="S129" s="38">
        <f t="shared" ref="S129:T131" si="57">H129+J129+L129</f>
        <v>50</v>
      </c>
      <c r="T129" s="46">
        <f t="shared" si="57"/>
        <v>27</v>
      </c>
      <c r="U129" s="36"/>
      <c r="V129" s="47" t="str">
        <f>B131</f>
        <v>ENSISHEIM</v>
      </c>
      <c r="Y129" s="44" t="str">
        <f>B130</f>
        <v>KINGERSHEIM 1</v>
      </c>
      <c r="Z129">
        <f>+IF(Q129&gt;P129,2,1)+IF(P130&gt;Q130,2,1)</f>
        <v>2</v>
      </c>
      <c r="AA129">
        <f>+Q129+P130</f>
        <v>0</v>
      </c>
      <c r="AB129">
        <f>+P129+Q130</f>
        <v>4</v>
      </c>
      <c r="AC129" s="39">
        <f t="shared" ref="AC129:AC130" si="58">IF(AB129=0,"MAX",AA129/AB129)</f>
        <v>0</v>
      </c>
      <c r="AD129">
        <f>+T129+S130</f>
        <v>63</v>
      </c>
      <c r="AE129">
        <f>+S129+T130</f>
        <v>100</v>
      </c>
      <c r="AF129" s="39">
        <f t="shared" ref="AF129:AF130" si="59">IF(AE129=0,"MAX",AD129/AE129)</f>
        <v>0.63</v>
      </c>
    </row>
    <row r="130" spans="1:32" ht="20.100000000000001" customHeight="1" x14ac:dyDescent="0.3">
      <c r="A130" s="25">
        <v>2</v>
      </c>
      <c r="B130" s="44" t="str">
        <f>IF('[1]classement poule 1ère phase'!B187="","7EME 2EME",'[1]classement poule 1ère phase'!B187)</f>
        <v>KINGERSHEIM 1</v>
      </c>
      <c r="F130" s="40" t="s">
        <v>101</v>
      </c>
      <c r="G130" s="43" t="str">
        <f>B130</f>
        <v>KINGERSHEIM 1</v>
      </c>
      <c r="H130" s="42">
        <v>13</v>
      </c>
      <c r="I130" s="42">
        <v>25</v>
      </c>
      <c r="J130" s="42">
        <v>23</v>
      </c>
      <c r="K130" s="42">
        <v>25</v>
      </c>
      <c r="L130" s="42"/>
      <c r="M130" s="42"/>
      <c r="N130" s="48" t="str">
        <f>B131</f>
        <v>ENSISHEIM</v>
      </c>
      <c r="O130" s="31"/>
      <c r="P130" s="44">
        <f>IF(H130&gt;I130,1,0)+IF(J130&gt;K130,1,0)+IF(L130&gt;M130,1,0)</f>
        <v>0</v>
      </c>
      <c r="Q130" s="49">
        <f>IF(I130&gt;H130,1,0)+IF(K130&gt;J130,1,0)+IF(M130&gt;L130,1,0)</f>
        <v>2</v>
      </c>
      <c r="R130" s="45"/>
      <c r="S130" s="44">
        <f t="shared" si="57"/>
        <v>36</v>
      </c>
      <c r="T130" s="50">
        <f t="shared" si="57"/>
        <v>50</v>
      </c>
      <c r="U130" s="36"/>
      <c r="V130" s="47" t="str">
        <f>B129</f>
        <v>CD 68-2</v>
      </c>
      <c r="Y130" s="51" t="str">
        <f>B131</f>
        <v>ENSISHEIM</v>
      </c>
      <c r="Z130">
        <f>+IF(Q130&gt;P130,2,1)+IF(Q131&gt;P131,2,1)</f>
        <v>3</v>
      </c>
      <c r="AA130">
        <f>+Q130+Q131</f>
        <v>2</v>
      </c>
      <c r="AB130">
        <f>+P130+P131</f>
        <v>2</v>
      </c>
      <c r="AC130" s="39">
        <f t="shared" si="58"/>
        <v>1</v>
      </c>
      <c r="AD130">
        <f>+T130+T131</f>
        <v>84</v>
      </c>
      <c r="AE130">
        <f>+S130+S131</f>
        <v>86</v>
      </c>
      <c r="AF130" s="39">
        <f t="shared" si="59"/>
        <v>0.97674418604651159</v>
      </c>
    </row>
    <row r="131" spans="1:32" ht="20.100000000000001" customHeight="1" thickBot="1" x14ac:dyDescent="0.35">
      <c r="A131" s="25">
        <v>3</v>
      </c>
      <c r="B131" s="51" t="str">
        <f>IF('[1]classement poule 1ère phase'!B182="","2EME 2EME",'[1]classement poule 1ère phase'!B182)</f>
        <v>ENSISHEIM</v>
      </c>
      <c r="F131" s="68" t="s">
        <v>102</v>
      </c>
      <c r="G131" s="53" t="str">
        <f>B129</f>
        <v>CD 68-2</v>
      </c>
      <c r="H131" s="54">
        <v>25</v>
      </c>
      <c r="I131" s="54">
        <v>17</v>
      </c>
      <c r="J131" s="54">
        <v>25</v>
      </c>
      <c r="K131" s="54">
        <v>17</v>
      </c>
      <c r="L131" s="54"/>
      <c r="M131" s="54"/>
      <c r="N131" s="55" t="str">
        <f>B131</f>
        <v>ENSISHEIM</v>
      </c>
      <c r="O131" s="56"/>
      <c r="P131" s="57">
        <f>IF(H131&gt;I131,1,0)+IF(J131&gt;K131,1,0)+IF(L131&gt;M131,1,0)</f>
        <v>2</v>
      </c>
      <c r="Q131" s="58">
        <f>IF(I131&gt;H131,1,0)+IF(K131&gt;J131,1,0)+IF(M131&gt;L131,1,0)</f>
        <v>0</v>
      </c>
      <c r="R131" s="59"/>
      <c r="S131" s="57">
        <f t="shared" si="57"/>
        <v>50</v>
      </c>
      <c r="T131" s="60">
        <f t="shared" si="57"/>
        <v>34</v>
      </c>
      <c r="U131" s="61"/>
      <c r="V131" s="62" t="str">
        <f>B130</f>
        <v>KINGERSHEIM 1</v>
      </c>
    </row>
    <row r="132" spans="1:32" ht="5.0999999999999996" customHeight="1" thickBot="1" x14ac:dyDescent="0.35"/>
    <row r="133" spans="1:32" ht="39.9" customHeight="1" x14ac:dyDescent="0.3">
      <c r="F133" s="2" t="s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4"/>
    </row>
    <row r="134" spans="1:32" ht="39.9" customHeight="1" x14ac:dyDescent="0.3">
      <c r="F134" s="6" t="s">
        <v>97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8"/>
    </row>
    <row r="135" spans="1:32" ht="30" customHeight="1" thickBot="1" x14ac:dyDescent="0.35">
      <c r="F135" s="9" t="s">
        <v>2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1"/>
    </row>
    <row r="136" spans="1:32" ht="20.100000000000001" customHeight="1" x14ac:dyDescent="0.3"/>
    <row r="137" spans="1:32" ht="20.100000000000001" customHeight="1" thickBot="1" x14ac:dyDescent="0.4">
      <c r="F137" s="13" t="s">
        <v>107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32" ht="20.100000000000001" customHeight="1" thickBot="1" x14ac:dyDescent="0.35">
      <c r="F138" s="14" t="s">
        <v>4</v>
      </c>
      <c r="G138" s="15" t="s">
        <v>46</v>
      </c>
      <c r="H138" s="16"/>
      <c r="I138" s="16"/>
      <c r="J138" s="16"/>
      <c r="K138" s="16"/>
      <c r="L138" s="16"/>
      <c r="M138" s="16"/>
      <c r="N138" s="16"/>
      <c r="O138" s="17"/>
      <c r="P138" s="18" t="s">
        <v>6</v>
      </c>
      <c r="Q138" s="19"/>
      <c r="R138" s="20"/>
      <c r="S138" s="18" t="s">
        <v>7</v>
      </c>
      <c r="T138" s="21"/>
      <c r="U138" s="22"/>
      <c r="V138" s="23" t="s">
        <v>8</v>
      </c>
      <c r="Z138" s="24" t="s">
        <v>9</v>
      </c>
      <c r="AA138" s="24" t="s">
        <v>10</v>
      </c>
      <c r="AB138" s="24" t="s">
        <v>11</v>
      </c>
      <c r="AC138" s="24" t="s">
        <v>12</v>
      </c>
      <c r="AD138" s="24" t="s">
        <v>13</v>
      </c>
      <c r="AE138" s="24" t="s">
        <v>14</v>
      </c>
      <c r="AF138" s="24" t="s">
        <v>15</v>
      </c>
    </row>
    <row r="139" spans="1:32" ht="20.100000000000001" customHeight="1" x14ac:dyDescent="0.3">
      <c r="A139" s="25"/>
      <c r="B139" s="26" t="s">
        <v>108</v>
      </c>
      <c r="F139" s="27"/>
      <c r="G139" s="28"/>
      <c r="H139" s="29" t="s">
        <v>17</v>
      </c>
      <c r="I139" s="30"/>
      <c r="J139" s="29" t="s">
        <v>18</v>
      </c>
      <c r="K139" s="30"/>
      <c r="L139" s="29" t="s">
        <v>19</v>
      </c>
      <c r="M139" s="30"/>
      <c r="N139" s="28"/>
      <c r="O139" s="31"/>
      <c r="P139" s="32"/>
      <c r="Q139" s="33"/>
      <c r="R139" s="34"/>
      <c r="S139" s="32"/>
      <c r="T139" s="35"/>
      <c r="U139" s="36"/>
      <c r="V139" s="37"/>
      <c r="Y139" s="38" t="str">
        <f>B140</f>
        <v>HÖCHST 1</v>
      </c>
      <c r="Z139">
        <f>+IF(P140&gt;Q140,2,1)+IF(P142&gt;Q142,2,1)</f>
        <v>4</v>
      </c>
      <c r="AA139">
        <f>+P140+P142</f>
        <v>4</v>
      </c>
      <c r="AB139">
        <f>+Q140+Q142</f>
        <v>0</v>
      </c>
      <c r="AC139" s="39" t="str">
        <f>IF(AB139=0,"MAX",AA139/AB139)</f>
        <v>MAX</v>
      </c>
      <c r="AD139">
        <f>+S140+S142</f>
        <v>100</v>
      </c>
      <c r="AE139">
        <f>+T140+T142</f>
        <v>52</v>
      </c>
      <c r="AF139" s="39">
        <f>IF(AE139=0,"MAX",AD139/AE139)</f>
        <v>1.9230769230769231</v>
      </c>
    </row>
    <row r="140" spans="1:32" ht="20.100000000000001" customHeight="1" x14ac:dyDescent="0.3">
      <c r="A140" s="25">
        <v>1</v>
      </c>
      <c r="B140" s="38" t="str">
        <f>IF('[1]classement poule 1ère phase'!B169="","4EME 1ER",'[1]classement poule 1ère phase'!B169)</f>
        <v>HÖCHST 1</v>
      </c>
      <c r="F140" s="40" t="s">
        <v>100</v>
      </c>
      <c r="G140" s="41" t="str">
        <f>B140</f>
        <v>HÖCHST 1</v>
      </c>
      <c r="H140" s="42">
        <v>25</v>
      </c>
      <c r="I140" s="42">
        <v>11</v>
      </c>
      <c r="J140" s="42">
        <v>25</v>
      </c>
      <c r="K140" s="42">
        <v>12</v>
      </c>
      <c r="L140" s="42"/>
      <c r="M140" s="42"/>
      <c r="N140" s="43" t="str">
        <f>B141</f>
        <v>AUBAGNE</v>
      </c>
      <c r="O140" s="31"/>
      <c r="P140" s="38">
        <f>IF(H140&gt;I140,1,0)+IF(J140&gt;K140,1,0)+IF(L140&gt;M140,1,0)</f>
        <v>2</v>
      </c>
      <c r="Q140" s="44">
        <f>IF(I140&gt;H140,1,0)+IF(K140&gt;J140,1,0)+IF(M140&gt;L140,1,0)</f>
        <v>0</v>
      </c>
      <c r="R140" s="45"/>
      <c r="S140" s="38">
        <f>H140+J140+L140</f>
        <v>50</v>
      </c>
      <c r="T140" s="46">
        <f>I140+K140+M140</f>
        <v>23</v>
      </c>
      <c r="U140" s="36"/>
      <c r="V140" s="47" t="str">
        <f>B142</f>
        <v>KINGERSHEIM 2</v>
      </c>
      <c r="Y140" s="44" t="str">
        <f>B141</f>
        <v>AUBAGNE</v>
      </c>
      <c r="Z140">
        <f>+IF(Q140&gt;P140,2,1)+IF(P141&gt;Q141,2,1)</f>
        <v>3</v>
      </c>
      <c r="AA140">
        <f>+Q140+P141</f>
        <v>2</v>
      </c>
      <c r="AB140">
        <f>+P140+Q141</f>
        <v>2</v>
      </c>
      <c r="AC140" s="39">
        <f>IF(AB140=0,"MAX",AA140/AB140)</f>
        <v>1</v>
      </c>
      <c r="AD140">
        <f>+T140+S141</f>
        <v>74</v>
      </c>
      <c r="AE140">
        <f>+S140+T141</f>
        <v>97</v>
      </c>
      <c r="AF140" s="39">
        <f>IF(AE140=0,"MAX",AD140/AE140)</f>
        <v>0.76288659793814428</v>
      </c>
    </row>
    <row r="141" spans="1:32" ht="20.100000000000001" customHeight="1" x14ac:dyDescent="0.3">
      <c r="A141" s="25">
        <v>2</v>
      </c>
      <c r="B141" s="44" t="str">
        <f>IF('[1]classement poule 1ère phase'!B188="","8EME 2EME",'[1]classement poule 1ère phase'!B188)</f>
        <v>AUBAGNE</v>
      </c>
      <c r="F141" s="40" t="s">
        <v>101</v>
      </c>
      <c r="G141" s="43" t="str">
        <f>B141</f>
        <v>AUBAGNE</v>
      </c>
      <c r="H141" s="42">
        <v>25</v>
      </c>
      <c r="I141" s="42">
        <v>23</v>
      </c>
      <c r="J141" s="42">
        <v>26</v>
      </c>
      <c r="K141" s="42">
        <v>24</v>
      </c>
      <c r="L141" s="42"/>
      <c r="M141" s="42"/>
      <c r="N141" s="48" t="str">
        <f>B142</f>
        <v>KINGERSHEIM 2</v>
      </c>
      <c r="O141" s="31"/>
      <c r="P141" s="44">
        <f t="shared" ref="P141" si="60">IF(H141&gt;I141,1,0)+IF(J141&gt;K141,1,0)+IF(L141&gt;M141,1,0)</f>
        <v>2</v>
      </c>
      <c r="Q141" s="49">
        <f t="shared" ref="Q141" si="61">IF(I141&gt;H141,1,0)+IF(K141&gt;J141,1,0)+IF(M141&gt;L141,1,0)</f>
        <v>0</v>
      </c>
      <c r="R141" s="45"/>
      <c r="S141" s="44">
        <f t="shared" ref="S141:T141" si="62">H141+J141+L141</f>
        <v>51</v>
      </c>
      <c r="T141" s="50">
        <f t="shared" si="62"/>
        <v>47</v>
      </c>
      <c r="U141" s="36"/>
      <c r="V141" s="47" t="str">
        <f>B140</f>
        <v>HÖCHST 1</v>
      </c>
      <c r="Y141" s="51" t="str">
        <f>B142</f>
        <v>KINGERSHEIM 2</v>
      </c>
      <c r="Z141">
        <f>+IF(Q141&gt;P141,2,1)+IF(Q142&gt;P142,2,1)</f>
        <v>2</v>
      </c>
      <c r="AA141">
        <f>+Q141+Q142</f>
        <v>0</v>
      </c>
      <c r="AB141">
        <f>+P141+P142</f>
        <v>4</v>
      </c>
      <c r="AC141" s="39">
        <f>IF(AB141=0,"MAX",AA141/AB141)</f>
        <v>0</v>
      </c>
      <c r="AD141">
        <f>+T141+T142</f>
        <v>76</v>
      </c>
      <c r="AE141">
        <f>+S141+S142</f>
        <v>101</v>
      </c>
      <c r="AF141" s="39">
        <f>IF(AE141=0,"MAX",AD141/AE141)</f>
        <v>0.75247524752475248</v>
      </c>
    </row>
    <row r="142" spans="1:32" ht="20.100000000000001" customHeight="1" thickBot="1" x14ac:dyDescent="0.35">
      <c r="A142" s="25">
        <v>3</v>
      </c>
      <c r="B142" s="51" t="str">
        <f>IF('[1]classement poule 1ère phase'!B181="","1ER 2EME",'[1]classement poule 1ère phase'!B181)</f>
        <v>KINGERSHEIM 2</v>
      </c>
      <c r="F142" s="68" t="s">
        <v>102</v>
      </c>
      <c r="G142" s="53" t="str">
        <f>B140</f>
        <v>HÖCHST 1</v>
      </c>
      <c r="H142" s="54">
        <v>25</v>
      </c>
      <c r="I142" s="54">
        <v>18</v>
      </c>
      <c r="J142" s="54">
        <v>25</v>
      </c>
      <c r="K142" s="54">
        <v>11</v>
      </c>
      <c r="L142" s="54"/>
      <c r="M142" s="54"/>
      <c r="N142" s="55" t="str">
        <f>B142</f>
        <v>KINGERSHEIM 2</v>
      </c>
      <c r="O142" s="56"/>
      <c r="P142" s="57">
        <f>IF(H142&gt;I142,1,0)+IF(J142&gt;K142,1,0)+IF(L142&gt;M142,1,0)</f>
        <v>2</v>
      </c>
      <c r="Q142" s="58">
        <f>IF(I142&gt;H142,1,0)+IF(K142&gt;J142,1,0)+IF(M142&gt;L142,1,0)</f>
        <v>0</v>
      </c>
      <c r="R142" s="59"/>
      <c r="S142" s="57">
        <f>H142+J142+L142</f>
        <v>50</v>
      </c>
      <c r="T142" s="60">
        <f>I142+K142+M142</f>
        <v>29</v>
      </c>
      <c r="U142" s="61"/>
      <c r="V142" s="62" t="str">
        <f>B141</f>
        <v>AUBAGNE</v>
      </c>
    </row>
    <row r="143" spans="1:32" ht="20.100000000000001" customHeight="1" x14ac:dyDescent="0.3">
      <c r="Y143" s="70"/>
      <c r="Z143" s="70"/>
      <c r="AA143" s="70"/>
      <c r="AB143" s="70"/>
      <c r="AC143" s="70"/>
      <c r="AD143" s="70"/>
      <c r="AE143" s="70"/>
      <c r="AF143" s="70"/>
    </row>
    <row r="144" spans="1:32" ht="20.100000000000001" customHeight="1" thickBot="1" x14ac:dyDescent="0.4">
      <c r="F144" s="13" t="s">
        <v>109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32" ht="20.100000000000001" customHeight="1" thickBot="1" x14ac:dyDescent="0.35">
      <c r="F145" s="14" t="s">
        <v>4</v>
      </c>
      <c r="G145" s="15" t="s">
        <v>58</v>
      </c>
      <c r="H145" s="16"/>
      <c r="I145" s="16"/>
      <c r="J145" s="16"/>
      <c r="K145" s="16"/>
      <c r="L145" s="16"/>
      <c r="M145" s="16"/>
      <c r="N145" s="16"/>
      <c r="O145" s="17"/>
      <c r="P145" s="18" t="s">
        <v>6</v>
      </c>
      <c r="Q145" s="19"/>
      <c r="R145" s="20"/>
      <c r="S145" s="18" t="s">
        <v>7</v>
      </c>
      <c r="T145" s="63"/>
      <c r="U145" s="22"/>
      <c r="V145" s="23" t="s">
        <v>8</v>
      </c>
      <c r="Z145" s="24" t="s">
        <v>9</v>
      </c>
      <c r="AA145" s="24" t="s">
        <v>10</v>
      </c>
      <c r="AB145" s="24" t="s">
        <v>11</v>
      </c>
      <c r="AC145" s="24" t="s">
        <v>12</v>
      </c>
      <c r="AD145" s="24" t="s">
        <v>13</v>
      </c>
      <c r="AE145" s="24" t="s">
        <v>14</v>
      </c>
      <c r="AF145" s="24" t="s">
        <v>15</v>
      </c>
    </row>
    <row r="146" spans="1:32" ht="20.100000000000001" customHeight="1" x14ac:dyDescent="0.3">
      <c r="A146" s="64"/>
      <c r="B146" s="26" t="s">
        <v>110</v>
      </c>
      <c r="F146" s="27"/>
      <c r="G146" s="28"/>
      <c r="H146" s="29" t="s">
        <v>17</v>
      </c>
      <c r="I146" s="30"/>
      <c r="J146" s="29" t="s">
        <v>18</v>
      </c>
      <c r="K146" s="30"/>
      <c r="L146" s="29" t="s">
        <v>19</v>
      </c>
      <c r="M146" s="30"/>
      <c r="N146" s="28"/>
      <c r="O146" s="31"/>
      <c r="P146" s="32"/>
      <c r="Q146" s="33"/>
      <c r="R146" s="34"/>
      <c r="S146" s="32"/>
      <c r="T146" s="66"/>
      <c r="U146" s="36"/>
      <c r="V146" s="37"/>
      <c r="Y146" s="38" t="str">
        <f>B147</f>
        <v>UNION DU CENTRE 1</v>
      </c>
      <c r="Z146">
        <f>+IF(P147&gt;Q147,2,1)+IF(P149&gt;Q149,2,1)</f>
        <v>4</v>
      </c>
      <c r="AA146">
        <f>+P147+P149</f>
        <v>4</v>
      </c>
      <c r="AB146">
        <f>+Q147+Q149</f>
        <v>0</v>
      </c>
      <c r="AC146" s="39" t="str">
        <f>IF(AB146=0,"MAX",AA146/AB146)</f>
        <v>MAX</v>
      </c>
      <c r="AD146">
        <f>+S147+S149</f>
        <v>104</v>
      </c>
      <c r="AE146">
        <f>+T147+T149</f>
        <v>75</v>
      </c>
      <c r="AF146" s="39">
        <f>IF(AE146=0,"MAX",AD146/AE146)</f>
        <v>1.3866666666666667</v>
      </c>
    </row>
    <row r="147" spans="1:32" ht="20.100000000000001" customHeight="1" x14ac:dyDescent="0.3">
      <c r="A147" s="25">
        <v>1</v>
      </c>
      <c r="B147" s="38" t="str">
        <f>IF('[1]classement poule 1ère phase'!B170="","5EME 1ER",'[1]classement poule 1ère phase'!B170)</f>
        <v>UNION DU CENTRE 1</v>
      </c>
      <c r="F147" s="40" t="s">
        <v>100</v>
      </c>
      <c r="G147" s="41" t="str">
        <f>B147</f>
        <v>UNION DU CENTRE 1</v>
      </c>
      <c r="H147" s="42">
        <v>25</v>
      </c>
      <c r="I147" s="42">
        <v>8</v>
      </c>
      <c r="J147" s="42">
        <v>25</v>
      </c>
      <c r="K147" s="42">
        <v>17</v>
      </c>
      <c r="L147" s="42"/>
      <c r="M147" s="42"/>
      <c r="N147" s="43" t="str">
        <f>B148</f>
        <v>CD 68-4</v>
      </c>
      <c r="O147" s="31"/>
      <c r="P147" s="38">
        <f>IF(H147&gt;I147,1,0)+IF(J147&gt;K147,1,0)+IF(L147&gt;M147,1,0)</f>
        <v>2</v>
      </c>
      <c r="Q147" s="44">
        <f>IF(I147&gt;H147,1,0)+IF(K147&gt;J147,1,0)+IF(M147&gt;L147,1,0)</f>
        <v>0</v>
      </c>
      <c r="R147" s="45"/>
      <c r="S147" s="38">
        <f>H147+J147+L147</f>
        <v>50</v>
      </c>
      <c r="T147" s="46">
        <f>I147+K147+M147</f>
        <v>25</v>
      </c>
      <c r="U147" s="36"/>
      <c r="V147" s="47" t="str">
        <f>B149</f>
        <v>AACHEN</v>
      </c>
      <c r="Y147" s="44" t="str">
        <f>B148</f>
        <v>CD 68-4</v>
      </c>
      <c r="Z147">
        <f>+IF(Q147&gt;P147,2,1)+IF(P148&gt;Q148,2,1)</f>
        <v>2</v>
      </c>
      <c r="AA147">
        <f>+Q147+P148</f>
        <v>0</v>
      </c>
      <c r="AB147">
        <f>+P147+Q148</f>
        <v>4</v>
      </c>
      <c r="AC147" s="39">
        <f t="shared" ref="AC147:AC148" si="63">IF(AB147=0,"MAX",AA147/AB147)</f>
        <v>0</v>
      </c>
      <c r="AD147">
        <f>+T147+S148</f>
        <v>32</v>
      </c>
      <c r="AE147">
        <f>+S147+T148</f>
        <v>100</v>
      </c>
      <c r="AF147" s="39">
        <f t="shared" ref="AF147:AF148" si="64">IF(AE147=0,"MAX",AD147/AE147)</f>
        <v>0.32</v>
      </c>
    </row>
    <row r="148" spans="1:32" ht="20.100000000000001" customHeight="1" thickBot="1" x14ac:dyDescent="0.35">
      <c r="A148" s="25">
        <v>2</v>
      </c>
      <c r="B148" s="44" t="str">
        <f>IF('[1]classement poule 1ère phase'!B189="","9EME 2EME",'[1]classement poule 1ère phase'!B189)</f>
        <v>CD 68-4</v>
      </c>
      <c r="F148" s="40" t="s">
        <v>101</v>
      </c>
      <c r="G148" s="43" t="str">
        <f>B148</f>
        <v>CD 68-4</v>
      </c>
      <c r="H148" s="42">
        <v>0</v>
      </c>
      <c r="I148" s="42">
        <v>25</v>
      </c>
      <c r="J148" s="42">
        <v>7</v>
      </c>
      <c r="K148" s="42">
        <v>25</v>
      </c>
      <c r="L148" s="42"/>
      <c r="M148" s="42"/>
      <c r="N148" s="48" t="str">
        <f>B149</f>
        <v>AACHEN</v>
      </c>
      <c r="O148" s="56"/>
      <c r="P148" s="67">
        <f t="shared" ref="P148" si="65">IF(H148&gt;I148,1,0)+IF(J148&gt;K148,1,0)+IF(L148&gt;M148,1,0)</f>
        <v>0</v>
      </c>
      <c r="Q148" s="58">
        <f t="shared" ref="Q148" si="66">IF(I148&gt;H148,1,0)+IF(K148&gt;J148,1,0)+IF(M148&gt;L148,1,0)</f>
        <v>2</v>
      </c>
      <c r="R148" s="59"/>
      <c r="S148" s="67">
        <f t="shared" ref="S148:T148" si="67">H148+J148+L148</f>
        <v>7</v>
      </c>
      <c r="T148" s="60">
        <f t="shared" si="67"/>
        <v>50</v>
      </c>
      <c r="U148" s="61"/>
      <c r="V148" s="47" t="str">
        <f>B147</f>
        <v>UNION DU CENTRE 1</v>
      </c>
      <c r="Y148" s="51" t="str">
        <f>B149</f>
        <v>AACHEN</v>
      </c>
      <c r="Z148">
        <f>+IF(Q149&gt;P149,2,1)+IF(Q148&gt;P148,2,1)</f>
        <v>3</v>
      </c>
      <c r="AA148">
        <f>+Q149+Q148</f>
        <v>2</v>
      </c>
      <c r="AB148">
        <f>+P149+P148</f>
        <v>2</v>
      </c>
      <c r="AC148" s="39">
        <f t="shared" si="63"/>
        <v>1</v>
      </c>
      <c r="AD148">
        <f>+T149+T148</f>
        <v>100</v>
      </c>
      <c r="AE148">
        <f>+S149+S148</f>
        <v>61</v>
      </c>
      <c r="AF148" s="39">
        <f t="shared" si="64"/>
        <v>1.639344262295082</v>
      </c>
    </row>
    <row r="149" spans="1:32" ht="20.100000000000001" customHeight="1" thickBot="1" x14ac:dyDescent="0.35">
      <c r="A149" s="74">
        <v>3</v>
      </c>
      <c r="B149" s="75" t="str">
        <f>IF('[1]classement poule 1ère phase'!B177="","12EMER 1ER",'[1]classement poule 1ère phase'!B177)</f>
        <v>AACHEN</v>
      </c>
      <c r="F149" s="68" t="s">
        <v>102</v>
      </c>
      <c r="G149" s="53" t="str">
        <f>B147</f>
        <v>UNION DU CENTRE 1</v>
      </c>
      <c r="H149" s="54">
        <v>27</v>
      </c>
      <c r="I149" s="54">
        <v>25</v>
      </c>
      <c r="J149" s="54">
        <v>27</v>
      </c>
      <c r="K149" s="54">
        <v>25</v>
      </c>
      <c r="L149" s="54"/>
      <c r="M149" s="54"/>
      <c r="N149" s="55" t="str">
        <f>B149</f>
        <v>AACHEN</v>
      </c>
      <c r="O149" s="56"/>
      <c r="P149" s="57">
        <f>IF(H149&gt;I149,1,0)+IF(J149&gt;K149,1,0)+IF(L149&gt;M149,1,0)</f>
        <v>2</v>
      </c>
      <c r="Q149" s="58">
        <f>IF(I149&gt;H149,1,0)+IF(K149&gt;J149,1,0)+IF(M149&gt;L149,1,0)</f>
        <v>0</v>
      </c>
      <c r="R149" s="59"/>
      <c r="S149" s="57">
        <f>H149+J149+L149</f>
        <v>54</v>
      </c>
      <c r="T149" s="60">
        <f>I149+K149+M149</f>
        <v>50</v>
      </c>
      <c r="U149" s="61"/>
      <c r="V149" s="62" t="str">
        <f>B148</f>
        <v>CD 68-4</v>
      </c>
    </row>
    <row r="150" spans="1:32" ht="20.100000000000001" customHeight="1" x14ac:dyDescent="0.3">
      <c r="A150" s="69"/>
      <c r="B150" s="69"/>
      <c r="C150" s="70"/>
      <c r="D150" s="70"/>
      <c r="E150" s="70"/>
      <c r="F150" s="71"/>
      <c r="G150" s="72"/>
      <c r="H150" s="72"/>
      <c r="I150" s="72"/>
      <c r="J150" s="72"/>
      <c r="K150" s="72"/>
      <c r="L150" s="72"/>
      <c r="M150" s="72"/>
      <c r="N150" s="72"/>
      <c r="O150" s="71"/>
      <c r="P150" s="69"/>
      <c r="Q150" s="69"/>
      <c r="R150" s="69"/>
      <c r="S150" s="69"/>
      <c r="T150" s="69"/>
      <c r="U150" s="71"/>
      <c r="V150" s="73"/>
      <c r="X150" s="70"/>
      <c r="Y150" s="69"/>
      <c r="Z150" s="70"/>
      <c r="AA150" s="70"/>
      <c r="AB150" s="70"/>
      <c r="AC150" s="76"/>
      <c r="AD150" s="70"/>
      <c r="AE150" s="70"/>
      <c r="AF150" s="76"/>
    </row>
    <row r="151" spans="1:32" ht="20.100000000000001" customHeight="1" thickBot="1" x14ac:dyDescent="0.4">
      <c r="F151" s="13" t="s">
        <v>111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X151" s="70"/>
      <c r="Y151" s="69"/>
      <c r="Z151" s="70"/>
      <c r="AA151" s="70"/>
      <c r="AB151" s="70"/>
      <c r="AC151" s="76"/>
      <c r="AD151" s="70"/>
      <c r="AE151" s="70"/>
      <c r="AF151" s="76"/>
    </row>
    <row r="152" spans="1:32" ht="20.100000000000001" customHeight="1" thickBot="1" x14ac:dyDescent="0.35">
      <c r="F152" s="14" t="s">
        <v>4</v>
      </c>
      <c r="G152" s="15" t="s">
        <v>64</v>
      </c>
      <c r="H152" s="16"/>
      <c r="I152" s="16"/>
      <c r="J152" s="16"/>
      <c r="K152" s="16"/>
      <c r="L152" s="16"/>
      <c r="M152" s="16"/>
      <c r="N152" s="16"/>
      <c r="O152" s="17"/>
      <c r="P152" s="18" t="s">
        <v>6</v>
      </c>
      <c r="Q152" s="19"/>
      <c r="R152" s="20"/>
      <c r="S152" s="18" t="s">
        <v>7</v>
      </c>
      <c r="T152" s="21"/>
      <c r="U152" s="22"/>
      <c r="V152" s="23" t="s">
        <v>8</v>
      </c>
      <c r="X152" s="70"/>
      <c r="Z152" s="24" t="s">
        <v>9</v>
      </c>
      <c r="AA152" s="24" t="s">
        <v>10</v>
      </c>
      <c r="AB152" s="24" t="s">
        <v>11</v>
      </c>
      <c r="AC152" s="24" t="s">
        <v>12</v>
      </c>
      <c r="AD152" s="24" t="s">
        <v>13</v>
      </c>
      <c r="AE152" s="24" t="s">
        <v>14</v>
      </c>
      <c r="AF152" s="24" t="s">
        <v>15</v>
      </c>
    </row>
    <row r="153" spans="1:32" ht="20.100000000000001" customHeight="1" x14ac:dyDescent="0.3">
      <c r="A153" s="25"/>
      <c r="B153" s="26" t="s">
        <v>112</v>
      </c>
      <c r="F153" s="27"/>
      <c r="G153" s="28"/>
      <c r="H153" s="29" t="s">
        <v>17</v>
      </c>
      <c r="I153" s="30"/>
      <c r="J153" s="29" t="s">
        <v>18</v>
      </c>
      <c r="K153" s="30"/>
      <c r="L153" s="29" t="s">
        <v>19</v>
      </c>
      <c r="M153" s="30"/>
      <c r="N153" s="28"/>
      <c r="O153" s="31"/>
      <c r="P153" s="32"/>
      <c r="Q153" s="33"/>
      <c r="R153" s="34"/>
      <c r="S153" s="32"/>
      <c r="T153" s="35"/>
      <c r="U153" s="36"/>
      <c r="V153" s="37"/>
      <c r="X153" s="70"/>
      <c r="Y153" s="38" t="str">
        <f>B154</f>
        <v>VILLEJUIF</v>
      </c>
      <c r="Z153">
        <f>+IF(P154&gt;Q154,2,1)+IF(P156&gt;Q156,2,1)</f>
        <v>3</v>
      </c>
      <c r="AA153">
        <f>+P154+P156</f>
        <v>2</v>
      </c>
      <c r="AB153">
        <f>+Q154+Q156</f>
        <v>2</v>
      </c>
      <c r="AC153" s="39">
        <f>IF(AB153=0,"MAX",AA153/AB153)</f>
        <v>1</v>
      </c>
      <c r="AD153">
        <f>+S154+S156</f>
        <v>78</v>
      </c>
      <c r="AE153">
        <f>+T154+T156</f>
        <v>72</v>
      </c>
      <c r="AF153" s="39">
        <f>IF(AE153=0,"MAX",AD153/AE153)</f>
        <v>1.0833333333333333</v>
      </c>
    </row>
    <row r="154" spans="1:32" ht="20.100000000000001" customHeight="1" x14ac:dyDescent="0.3">
      <c r="A154" s="25">
        <v>1</v>
      </c>
      <c r="B154" s="38" t="str">
        <f>IF('[1]classement poule 1ère phase'!B171="","6EME 1ER",'[1]classement poule 1ère phase'!B171)</f>
        <v>VILLEJUIF</v>
      </c>
      <c r="F154" s="40" t="s">
        <v>100</v>
      </c>
      <c r="G154" s="41" t="str">
        <f>B154</f>
        <v>VILLEJUIF</v>
      </c>
      <c r="H154" s="42">
        <v>25</v>
      </c>
      <c r="I154" s="42">
        <v>8</v>
      </c>
      <c r="J154" s="42">
        <v>25</v>
      </c>
      <c r="K154" s="42">
        <v>14</v>
      </c>
      <c r="L154" s="42"/>
      <c r="M154" s="42"/>
      <c r="N154" s="43" t="str">
        <f>B155</f>
        <v>UNION DU CENTRE 2</v>
      </c>
      <c r="O154" s="31"/>
      <c r="P154" s="38">
        <f>IF(H154&gt;I154,1,0)+IF(J154&gt;K154,1,0)+IF(L154&gt;M154,1,0)</f>
        <v>2</v>
      </c>
      <c r="Q154" s="44">
        <f>IF(I154&gt;H154,1,0)+IF(K154&gt;J154,1,0)+IF(M154&gt;L154,1,0)</f>
        <v>0</v>
      </c>
      <c r="R154" s="45"/>
      <c r="S154" s="38">
        <f>H154+J154+L154</f>
        <v>50</v>
      </c>
      <c r="T154" s="46">
        <f>I154+K154+M154</f>
        <v>22</v>
      </c>
      <c r="U154" s="36"/>
      <c r="V154" s="47" t="str">
        <f>B156</f>
        <v>CD 68-1</v>
      </c>
      <c r="X154" s="70"/>
      <c r="Y154" s="44" t="str">
        <f>B155</f>
        <v>UNION DU CENTRE 2</v>
      </c>
      <c r="Z154">
        <f>+IF(Q154&gt;P154,2,1)+IF(P155&gt;Q155,2,1)</f>
        <v>2</v>
      </c>
      <c r="AA154">
        <f>+Q154+P155</f>
        <v>0</v>
      </c>
      <c r="AB154">
        <f>+P154+Q155</f>
        <v>4</v>
      </c>
      <c r="AC154" s="39">
        <f>IF(AB154=0,"MAX",AA154/AB154)</f>
        <v>0</v>
      </c>
      <c r="AD154">
        <f>+T154+S155</f>
        <v>40</v>
      </c>
      <c r="AE154">
        <f>+S154+T155</f>
        <v>100</v>
      </c>
      <c r="AF154" s="39">
        <f>IF(AE154=0,"MAX",AD154/AE154)</f>
        <v>0.4</v>
      </c>
    </row>
    <row r="155" spans="1:32" ht="20.100000000000001" customHeight="1" x14ac:dyDescent="0.3">
      <c r="A155" s="25">
        <v>2</v>
      </c>
      <c r="B155" s="44" t="str">
        <f>IF('[1]classement poule 1ère phase'!B190="","10EME 2EME",'[1]classement poule 1ère phase'!B190)</f>
        <v>UNION DU CENTRE 2</v>
      </c>
      <c r="F155" s="40" t="s">
        <v>101</v>
      </c>
      <c r="G155" s="43" t="str">
        <f>B155</f>
        <v>UNION DU CENTRE 2</v>
      </c>
      <c r="H155" s="42">
        <v>9</v>
      </c>
      <c r="I155" s="42">
        <v>25</v>
      </c>
      <c r="J155" s="42">
        <v>9</v>
      </c>
      <c r="K155" s="42">
        <v>25</v>
      </c>
      <c r="L155" s="42"/>
      <c r="M155" s="42"/>
      <c r="N155" s="48" t="str">
        <f>B156</f>
        <v>CD 68-1</v>
      </c>
      <c r="O155" s="31"/>
      <c r="P155" s="44">
        <f t="shared" ref="P155" si="68">IF(H155&gt;I155,1,0)+IF(J155&gt;K155,1,0)+IF(L155&gt;M155,1,0)</f>
        <v>0</v>
      </c>
      <c r="Q155" s="49">
        <f t="shared" ref="Q155" si="69">IF(I155&gt;H155,1,0)+IF(K155&gt;J155,1,0)+IF(M155&gt;L155,1,0)</f>
        <v>2</v>
      </c>
      <c r="R155" s="45"/>
      <c r="S155" s="44">
        <f t="shared" ref="S155:T155" si="70">H155+J155+L155</f>
        <v>18</v>
      </c>
      <c r="T155" s="50">
        <f t="shared" si="70"/>
        <v>50</v>
      </c>
      <c r="U155" s="36"/>
      <c r="V155" s="47" t="str">
        <f>B154</f>
        <v>VILLEJUIF</v>
      </c>
      <c r="X155" s="70"/>
      <c r="Y155" s="51" t="str">
        <f>B156</f>
        <v>CD 68-1</v>
      </c>
      <c r="Z155">
        <f>+IF(Q155&gt;P155,2,1)+IF(Q156&gt;P156,2,1)</f>
        <v>4</v>
      </c>
      <c r="AA155">
        <f>+Q155+Q156</f>
        <v>4</v>
      </c>
      <c r="AB155">
        <f>+P155+P156</f>
        <v>0</v>
      </c>
      <c r="AC155" s="39" t="str">
        <f>IF(AB155=0,"MAX",AA155/AB155)</f>
        <v>MAX</v>
      </c>
      <c r="AD155">
        <f>+T155+T156</f>
        <v>100</v>
      </c>
      <c r="AE155">
        <f>+S155+S156</f>
        <v>46</v>
      </c>
      <c r="AF155" s="39">
        <f>IF(AE155=0,"MAX",AD155/AE155)</f>
        <v>2.1739130434782608</v>
      </c>
    </row>
    <row r="156" spans="1:32" ht="20.100000000000001" customHeight="1" thickBot="1" x14ac:dyDescent="0.35">
      <c r="A156" s="25">
        <v>3</v>
      </c>
      <c r="B156" s="51" t="str">
        <f>IF('[1]classement poule 1ère phase'!B176="","11EME 1ER",'[1]classement poule 1ère phase'!B176)</f>
        <v>CD 68-1</v>
      </c>
      <c r="F156" s="68" t="s">
        <v>102</v>
      </c>
      <c r="G156" s="53" t="str">
        <f>B154</f>
        <v>VILLEJUIF</v>
      </c>
      <c r="H156" s="54">
        <v>17</v>
      </c>
      <c r="I156" s="54">
        <v>25</v>
      </c>
      <c r="J156" s="54">
        <v>11</v>
      </c>
      <c r="K156" s="54">
        <v>25</v>
      </c>
      <c r="L156" s="54"/>
      <c r="M156" s="54"/>
      <c r="N156" s="55" t="str">
        <f>B156</f>
        <v>CD 68-1</v>
      </c>
      <c r="O156" s="56"/>
      <c r="P156" s="57">
        <f>IF(H156&gt;I156,1,0)+IF(J156&gt;K156,1,0)+IF(L156&gt;M156,1,0)</f>
        <v>0</v>
      </c>
      <c r="Q156" s="58">
        <f>IF(I156&gt;H156,1,0)+IF(K156&gt;J156,1,0)+IF(M156&gt;L156,1,0)</f>
        <v>2</v>
      </c>
      <c r="R156" s="59"/>
      <c r="S156" s="57">
        <f>H156+J156+L156</f>
        <v>28</v>
      </c>
      <c r="T156" s="60">
        <f>I156+K156+M156</f>
        <v>50</v>
      </c>
      <c r="U156" s="61"/>
      <c r="V156" s="62" t="str">
        <f>B155</f>
        <v>UNION DU CENTRE 2</v>
      </c>
    </row>
    <row r="157" spans="1:32" ht="5.0999999999999996" customHeight="1" thickBot="1" x14ac:dyDescent="0.35">
      <c r="A157" s="70"/>
      <c r="B157" s="97"/>
      <c r="C157" s="97"/>
      <c r="D157" s="97"/>
      <c r="E157" s="97"/>
      <c r="F157" s="71"/>
      <c r="G157" s="72"/>
      <c r="H157" s="72"/>
      <c r="I157" s="72"/>
      <c r="J157" s="72"/>
      <c r="K157" s="72"/>
      <c r="L157" s="72"/>
      <c r="M157" s="72"/>
      <c r="N157" s="72"/>
      <c r="O157" s="71"/>
      <c r="P157" s="69"/>
      <c r="Q157" s="69"/>
      <c r="R157" s="69"/>
      <c r="S157" s="69"/>
      <c r="T157" s="69"/>
      <c r="U157" s="71"/>
      <c r="V157" s="73"/>
      <c r="W157" s="97"/>
      <c r="X157" s="97"/>
      <c r="Y157" s="69"/>
      <c r="Z157" s="97"/>
      <c r="AC157" s="39"/>
      <c r="AF157" s="39"/>
    </row>
    <row r="158" spans="1:32" ht="39.9" customHeight="1" x14ac:dyDescent="0.3">
      <c r="F158" s="2" t="s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4"/>
    </row>
    <row r="159" spans="1:32" ht="39.9" customHeight="1" x14ac:dyDescent="0.3">
      <c r="F159" s="6" t="s">
        <v>97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8"/>
    </row>
    <row r="160" spans="1:32" ht="30" customHeight="1" thickBot="1" x14ac:dyDescent="0.35">
      <c r="F160" s="9" t="s">
        <v>2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1"/>
    </row>
    <row r="161" spans="1:32" ht="20.100000000000001" customHeight="1" x14ac:dyDescent="0.3"/>
    <row r="162" spans="1:32" ht="20.100000000000001" customHeight="1" thickBot="1" x14ac:dyDescent="0.4">
      <c r="F162" s="13" t="s">
        <v>113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32" ht="20.100000000000001" customHeight="1" thickBot="1" x14ac:dyDescent="0.35">
      <c r="F163" s="14" t="s">
        <v>4</v>
      </c>
      <c r="G163" s="15" t="s">
        <v>90</v>
      </c>
      <c r="H163" s="16"/>
      <c r="I163" s="16"/>
      <c r="J163" s="16"/>
      <c r="K163" s="16"/>
      <c r="L163" s="16"/>
      <c r="M163" s="16"/>
      <c r="N163" s="16"/>
      <c r="O163" s="17"/>
      <c r="P163" s="18" t="s">
        <v>6</v>
      </c>
      <c r="Q163" s="19"/>
      <c r="R163" s="20"/>
      <c r="S163" s="18" t="s">
        <v>7</v>
      </c>
      <c r="T163" s="21"/>
      <c r="U163" s="22"/>
      <c r="V163" s="23" t="s">
        <v>8</v>
      </c>
      <c r="Z163" s="24" t="s">
        <v>9</v>
      </c>
      <c r="AA163" s="24" t="s">
        <v>10</v>
      </c>
      <c r="AB163" s="24" t="s">
        <v>11</v>
      </c>
      <c r="AC163" s="24" t="s">
        <v>12</v>
      </c>
      <c r="AD163" s="24" t="s">
        <v>13</v>
      </c>
      <c r="AE163" s="24" t="s">
        <v>14</v>
      </c>
      <c r="AF163" s="24" t="s">
        <v>15</v>
      </c>
    </row>
    <row r="164" spans="1:32" ht="20.100000000000001" customHeight="1" x14ac:dyDescent="0.3">
      <c r="A164" s="25"/>
      <c r="B164" s="26" t="s">
        <v>114</v>
      </c>
      <c r="F164" s="27"/>
      <c r="G164" s="28"/>
      <c r="H164" s="29" t="s">
        <v>17</v>
      </c>
      <c r="I164" s="30"/>
      <c r="J164" s="29" t="s">
        <v>18</v>
      </c>
      <c r="K164" s="30"/>
      <c r="L164" s="29" t="s">
        <v>19</v>
      </c>
      <c r="M164" s="30"/>
      <c r="N164" s="28"/>
      <c r="O164" s="31"/>
      <c r="P164" s="32"/>
      <c r="Q164" s="33"/>
      <c r="R164" s="34"/>
      <c r="S164" s="32"/>
      <c r="T164" s="35"/>
      <c r="U164" s="36"/>
      <c r="V164" s="37"/>
      <c r="Y164" s="38" t="str">
        <f>B165</f>
        <v>YUTZ 1</v>
      </c>
      <c r="Z164">
        <f>+IF(P165&gt;Q165,2,1)+IF(P167&gt;Q167,2,1)</f>
        <v>3</v>
      </c>
      <c r="AA164">
        <f>+P165+P167</f>
        <v>3</v>
      </c>
      <c r="AB164">
        <f>+Q165+Q167</f>
        <v>2</v>
      </c>
      <c r="AC164" s="39">
        <f>IF(AB164=0,"MAX",AA164/AB164)</f>
        <v>1.5</v>
      </c>
      <c r="AD164">
        <f>+S165+S167</f>
        <v>101</v>
      </c>
      <c r="AE164">
        <f>+T165+T167</f>
        <v>82</v>
      </c>
      <c r="AF164" s="39">
        <f>IF(AE164=0,"MAX",AD164/AE164)</f>
        <v>1.2317073170731707</v>
      </c>
    </row>
    <row r="165" spans="1:32" ht="20.100000000000001" customHeight="1" x14ac:dyDescent="0.3">
      <c r="A165" s="25">
        <v>1</v>
      </c>
      <c r="B165" s="38" t="str">
        <f>IF('[1]classement poule 1ère phase'!B172="","7EME 1ER",'[1]classement poule 1ère phase'!B172)</f>
        <v>YUTZ 1</v>
      </c>
      <c r="F165" s="40" t="s">
        <v>100</v>
      </c>
      <c r="G165" s="41" t="str">
        <f>B165</f>
        <v>YUTZ 1</v>
      </c>
      <c r="H165" s="42">
        <v>25</v>
      </c>
      <c r="I165" s="42">
        <v>8</v>
      </c>
      <c r="J165" s="42">
        <v>25</v>
      </c>
      <c r="K165" s="42">
        <v>10</v>
      </c>
      <c r="L165" s="42"/>
      <c r="M165" s="42"/>
      <c r="N165" s="43" t="str">
        <f>B166</f>
        <v>YUTZ 2</v>
      </c>
      <c r="O165" s="31"/>
      <c r="P165" s="38">
        <f>IF(H165&gt;I165,1,0)+IF(J165&gt;K165,1,0)+IF(L165&gt;M165,1,0)</f>
        <v>2</v>
      </c>
      <c r="Q165" s="44">
        <f>IF(I165&gt;H165,1,0)+IF(K165&gt;J165,1,0)+IF(M165&gt;L165,1,0)</f>
        <v>0</v>
      </c>
      <c r="R165" s="45"/>
      <c r="S165" s="38">
        <f>H165+J165+L165</f>
        <v>50</v>
      </c>
      <c r="T165" s="46">
        <f>I165+K165+M165</f>
        <v>18</v>
      </c>
      <c r="U165" s="36"/>
      <c r="V165" s="47" t="str">
        <f>B167</f>
        <v>DORNBIRN 1</v>
      </c>
      <c r="Y165" s="44" t="str">
        <f>B166</f>
        <v>YUTZ 2</v>
      </c>
      <c r="Z165">
        <f>+IF(Q165&gt;P165,2,1)+IF(P166&gt;Q166,2,1)</f>
        <v>2</v>
      </c>
      <c r="AA165">
        <f>+Q165+P166</f>
        <v>0</v>
      </c>
      <c r="AB165">
        <f>+P165+Q166</f>
        <v>4</v>
      </c>
      <c r="AC165" s="39">
        <f>IF(AB165=0,"MAX",AA165/AB165)</f>
        <v>0</v>
      </c>
      <c r="AD165">
        <f>+T165+S166</f>
        <v>39</v>
      </c>
      <c r="AE165">
        <f>+S165+T166</f>
        <v>100</v>
      </c>
      <c r="AF165" s="39">
        <f>IF(AE165=0,"MAX",AD165/AE165)</f>
        <v>0.39</v>
      </c>
    </row>
    <row r="166" spans="1:32" ht="20.100000000000001" customHeight="1" x14ac:dyDescent="0.3">
      <c r="A166" s="25">
        <v>2</v>
      </c>
      <c r="B166" s="44" t="str">
        <f>IF('[1]classement poule 1ère phase'!B191="","11EME 2EME",'[1]classement poule 1ère phase'!B191)</f>
        <v>YUTZ 2</v>
      </c>
      <c r="F166" s="40" t="s">
        <v>101</v>
      </c>
      <c r="G166" s="43" t="str">
        <f>B166</f>
        <v>YUTZ 2</v>
      </c>
      <c r="H166" s="42">
        <v>11</v>
      </c>
      <c r="I166" s="42">
        <v>25</v>
      </c>
      <c r="J166" s="42">
        <v>10</v>
      </c>
      <c r="K166" s="42">
        <v>25</v>
      </c>
      <c r="L166" s="42"/>
      <c r="M166" s="42"/>
      <c r="N166" s="48" t="str">
        <f>B167</f>
        <v>DORNBIRN 1</v>
      </c>
      <c r="O166" s="31"/>
      <c r="P166" s="44">
        <f t="shared" ref="P166" si="71">IF(H166&gt;I166,1,0)+IF(J166&gt;K166,1,0)+IF(L166&gt;M166,1,0)</f>
        <v>0</v>
      </c>
      <c r="Q166" s="49">
        <f t="shared" ref="Q166" si="72">IF(I166&gt;H166,1,0)+IF(K166&gt;J166,1,0)+IF(M166&gt;L166,1,0)</f>
        <v>2</v>
      </c>
      <c r="R166" s="45"/>
      <c r="S166" s="44">
        <f t="shared" ref="S166:T166" si="73">H166+J166+L166</f>
        <v>21</v>
      </c>
      <c r="T166" s="50">
        <f t="shared" si="73"/>
        <v>50</v>
      </c>
      <c r="U166" s="36"/>
      <c r="V166" s="47" t="str">
        <f>B165</f>
        <v>YUTZ 1</v>
      </c>
      <c r="Y166" s="51" t="str">
        <f>B167</f>
        <v>DORNBIRN 1</v>
      </c>
      <c r="Z166">
        <f>+IF(Q166&gt;P166,2,1)+IF(Q167&gt;P167,2,1)</f>
        <v>4</v>
      </c>
      <c r="AA166">
        <f>+Q166+Q167</f>
        <v>4</v>
      </c>
      <c r="AB166">
        <f>+P166+P167</f>
        <v>1</v>
      </c>
      <c r="AC166" s="39">
        <f>IF(AB166=0,"MAX",AA166/AB166)</f>
        <v>4</v>
      </c>
      <c r="AD166">
        <f>+T166+T167</f>
        <v>114</v>
      </c>
      <c r="AE166">
        <f>+S166+S167</f>
        <v>72</v>
      </c>
      <c r="AF166" s="39">
        <f>IF(AE166=0,"MAX",AD166/AE166)</f>
        <v>1.5833333333333333</v>
      </c>
    </row>
    <row r="167" spans="1:32" ht="20.100000000000001" customHeight="1" thickBot="1" x14ac:dyDescent="0.35">
      <c r="A167" s="25">
        <v>3</v>
      </c>
      <c r="B167" s="51" t="str">
        <f>IF('[1]classement poule 1ère phase'!B175="","10EME 1ER",'[1]classement poule 1ère phase'!B175)</f>
        <v>DORNBIRN 1</v>
      </c>
      <c r="F167" s="68" t="s">
        <v>102</v>
      </c>
      <c r="G167" s="53" t="str">
        <f>B165</f>
        <v>YUTZ 1</v>
      </c>
      <c r="H167" s="54">
        <v>26</v>
      </c>
      <c r="I167" s="54">
        <v>24</v>
      </c>
      <c r="J167" s="54">
        <v>15</v>
      </c>
      <c r="K167" s="54">
        <v>25</v>
      </c>
      <c r="L167" s="54">
        <v>10</v>
      </c>
      <c r="M167" s="54">
        <v>15</v>
      </c>
      <c r="N167" s="55" t="str">
        <f>B167</f>
        <v>DORNBIRN 1</v>
      </c>
      <c r="O167" s="56"/>
      <c r="P167" s="57">
        <f>IF(H167&gt;I167,1,0)+IF(J167&gt;K167,1,0)+IF(L167&gt;M167,1,0)</f>
        <v>1</v>
      </c>
      <c r="Q167" s="58">
        <f>IF(I167&gt;H167,1,0)+IF(K167&gt;J167,1,0)+IF(M167&gt;L167,1,0)</f>
        <v>2</v>
      </c>
      <c r="R167" s="59"/>
      <c r="S167" s="57">
        <f>H167+J167+L167</f>
        <v>51</v>
      </c>
      <c r="T167" s="60">
        <f>I167+K167+M167</f>
        <v>64</v>
      </c>
      <c r="U167" s="61"/>
      <c r="V167" s="62" t="str">
        <f>B166</f>
        <v>YUTZ 2</v>
      </c>
    </row>
    <row r="168" spans="1:32" ht="20.100000000000001" customHeight="1" x14ac:dyDescent="0.3">
      <c r="Y168" s="70"/>
      <c r="Z168" s="70"/>
      <c r="AA168" s="70"/>
      <c r="AB168" s="70"/>
      <c r="AC168" s="70"/>
      <c r="AD168" s="70"/>
      <c r="AE168" s="70"/>
      <c r="AF168" s="70"/>
    </row>
    <row r="169" spans="1:32" ht="20.100000000000001" customHeight="1" thickBot="1" x14ac:dyDescent="0.4">
      <c r="F169" s="13" t="s">
        <v>115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32" ht="20.100000000000001" customHeight="1" thickBot="1" x14ac:dyDescent="0.35">
      <c r="F170" s="14" t="s">
        <v>4</v>
      </c>
      <c r="G170" s="15" t="s">
        <v>83</v>
      </c>
      <c r="H170" s="16"/>
      <c r="I170" s="16"/>
      <c r="J170" s="16"/>
      <c r="K170" s="16"/>
      <c r="L170" s="16"/>
      <c r="M170" s="16"/>
      <c r="N170" s="16"/>
      <c r="O170" s="17"/>
      <c r="P170" s="18" t="s">
        <v>6</v>
      </c>
      <c r="Q170" s="19"/>
      <c r="R170" s="20"/>
      <c r="S170" s="18" t="s">
        <v>7</v>
      </c>
      <c r="T170" s="63"/>
      <c r="U170" s="22"/>
      <c r="V170" s="23" t="s">
        <v>8</v>
      </c>
      <c r="Z170" s="24" t="s">
        <v>9</v>
      </c>
      <c r="AA170" s="24" t="s">
        <v>10</v>
      </c>
      <c r="AB170" s="24" t="s">
        <v>11</v>
      </c>
      <c r="AC170" s="24" t="s">
        <v>12</v>
      </c>
      <c r="AD170" s="24" t="s">
        <v>13</v>
      </c>
      <c r="AE170" s="24" t="s">
        <v>14</v>
      </c>
      <c r="AF170" s="24" t="s">
        <v>15</v>
      </c>
    </row>
    <row r="171" spans="1:32" ht="20.100000000000001" customHeight="1" x14ac:dyDescent="0.3">
      <c r="A171" s="64"/>
      <c r="B171" s="26" t="s">
        <v>116</v>
      </c>
      <c r="F171" s="27"/>
      <c r="G171" s="28"/>
      <c r="H171" s="29" t="s">
        <v>17</v>
      </c>
      <c r="I171" s="30"/>
      <c r="J171" s="29" t="s">
        <v>18</v>
      </c>
      <c r="K171" s="30"/>
      <c r="L171" s="29" t="s">
        <v>19</v>
      </c>
      <c r="M171" s="30"/>
      <c r="N171" s="28"/>
      <c r="O171" s="31"/>
      <c r="P171" s="32"/>
      <c r="Q171" s="33"/>
      <c r="R171" s="34"/>
      <c r="S171" s="32"/>
      <c r="T171" s="66"/>
      <c r="U171" s="36"/>
      <c r="V171" s="37"/>
      <c r="Y171" s="38" t="str">
        <f>B172</f>
        <v>CANNES</v>
      </c>
      <c r="Z171">
        <f>+IF(P172&gt;Q172,2,1)+IF(P174&gt;Q174,2,1)</f>
        <v>4</v>
      </c>
      <c r="AA171">
        <f>+P172+P174</f>
        <v>4</v>
      </c>
      <c r="AB171">
        <f>+Q172+Q174</f>
        <v>0</v>
      </c>
      <c r="AC171" s="39" t="str">
        <f>IF(AB171=0,"MAX",AA171/AB171)</f>
        <v>MAX</v>
      </c>
      <c r="AD171">
        <f>+S172+S174</f>
        <v>100</v>
      </c>
      <c r="AE171">
        <f>+T172+T174</f>
        <v>50</v>
      </c>
      <c r="AF171" s="39">
        <f>IF(AE171=0,"MAX",AD171/AE171)</f>
        <v>2</v>
      </c>
    </row>
    <row r="172" spans="1:32" ht="20.100000000000001" customHeight="1" x14ac:dyDescent="0.3">
      <c r="A172" s="25">
        <v>1</v>
      </c>
      <c r="B172" s="38" t="str">
        <f>IF('[1]classement poule 1ère phase'!B173="","8EME 1ER",'[1]classement poule 1ère phase'!B173)</f>
        <v>CANNES</v>
      </c>
      <c r="F172" s="40" t="s">
        <v>100</v>
      </c>
      <c r="G172" s="41" t="str">
        <f>B172</f>
        <v>CANNES</v>
      </c>
      <c r="H172" s="42">
        <v>25</v>
      </c>
      <c r="I172" s="42">
        <v>10</v>
      </c>
      <c r="J172" s="42">
        <v>25</v>
      </c>
      <c r="K172" s="42">
        <v>11</v>
      </c>
      <c r="L172" s="42"/>
      <c r="M172" s="42"/>
      <c r="N172" s="43" t="str">
        <f>B173</f>
        <v>RIXHEIM</v>
      </c>
      <c r="O172" s="31"/>
      <c r="P172" s="38">
        <f>IF(H172&gt;I172,1,0)+IF(J172&gt;K172,1,0)+IF(L172&gt;M172,1,0)</f>
        <v>2</v>
      </c>
      <c r="Q172" s="44">
        <f>IF(I172&gt;H172,1,0)+IF(K172&gt;J172,1,0)+IF(M172&gt;L172,1,0)</f>
        <v>0</v>
      </c>
      <c r="R172" s="45"/>
      <c r="S172" s="38">
        <f>H172+J172+L172</f>
        <v>50</v>
      </c>
      <c r="T172" s="46">
        <f>I172+K172+M172</f>
        <v>21</v>
      </c>
      <c r="U172" s="36"/>
      <c r="V172" s="47" t="str">
        <f>B174</f>
        <v>HARNES</v>
      </c>
      <c r="Y172" s="44" t="str">
        <f>B173</f>
        <v>RIXHEIM</v>
      </c>
      <c r="Z172">
        <f>+IF(Q172&gt;P172,2,1)+IF(P173&gt;Q173,2,1)</f>
        <v>2</v>
      </c>
      <c r="AA172">
        <f>+Q172+P173</f>
        <v>0</v>
      </c>
      <c r="AB172">
        <f>+P172+Q173</f>
        <v>4</v>
      </c>
      <c r="AC172" s="39">
        <f t="shared" ref="AC172:AC173" si="74">IF(AB172=0,"MAX",AA172/AB172)</f>
        <v>0</v>
      </c>
      <c r="AD172">
        <f>+T172+S173</f>
        <v>52</v>
      </c>
      <c r="AE172">
        <f>+S172+T173</f>
        <v>102</v>
      </c>
      <c r="AF172" s="39">
        <f t="shared" ref="AF172:AF173" si="75">IF(AE172=0,"MAX",AD172/AE172)</f>
        <v>0.50980392156862742</v>
      </c>
    </row>
    <row r="173" spans="1:32" ht="20.100000000000001" customHeight="1" thickBot="1" x14ac:dyDescent="0.35">
      <c r="A173" s="25">
        <v>2</v>
      </c>
      <c r="B173" s="44" t="str">
        <f>IF('[1]classement poule 1ère phase'!B192="","12EME 2EME",'[1]classement poule 1ère phase'!B192)</f>
        <v>RIXHEIM</v>
      </c>
      <c r="F173" s="40" t="s">
        <v>101</v>
      </c>
      <c r="G173" s="43" t="str">
        <f>B173</f>
        <v>RIXHEIM</v>
      </c>
      <c r="H173" s="42">
        <v>6</v>
      </c>
      <c r="I173" s="42">
        <v>25</v>
      </c>
      <c r="J173" s="42">
        <v>25</v>
      </c>
      <c r="K173" s="42">
        <v>27</v>
      </c>
      <c r="L173" s="42"/>
      <c r="M173" s="42"/>
      <c r="N173" s="48" t="str">
        <f>B174</f>
        <v>HARNES</v>
      </c>
      <c r="O173" s="56"/>
      <c r="P173" s="67">
        <f t="shared" ref="P173" si="76">IF(H173&gt;I173,1,0)+IF(J173&gt;K173,1,0)+IF(L173&gt;M173,1,0)</f>
        <v>0</v>
      </c>
      <c r="Q173" s="58">
        <f t="shared" ref="Q173" si="77">IF(I173&gt;H173,1,0)+IF(K173&gt;J173,1,0)+IF(M173&gt;L173,1,0)</f>
        <v>2</v>
      </c>
      <c r="R173" s="59"/>
      <c r="S173" s="67">
        <f t="shared" ref="S173:T173" si="78">H173+J173+L173</f>
        <v>31</v>
      </c>
      <c r="T173" s="60">
        <f t="shared" si="78"/>
        <v>52</v>
      </c>
      <c r="U173" s="61"/>
      <c r="V173" s="47" t="str">
        <f>B172</f>
        <v>CANNES</v>
      </c>
      <c r="Y173" s="51" t="str">
        <f>B174</f>
        <v>HARNES</v>
      </c>
      <c r="Z173">
        <f>+IF(Q174&gt;P174,2,1)+IF(Q173&gt;P173,2,1)</f>
        <v>3</v>
      </c>
      <c r="AA173">
        <f>+Q174+Q173</f>
        <v>2</v>
      </c>
      <c r="AB173">
        <f>+P174+P173</f>
        <v>2</v>
      </c>
      <c r="AC173" s="39">
        <f t="shared" si="74"/>
        <v>1</v>
      </c>
      <c r="AD173">
        <f>+T174+T173</f>
        <v>81</v>
      </c>
      <c r="AE173">
        <f>+S174+S173</f>
        <v>81</v>
      </c>
      <c r="AF173" s="39">
        <f t="shared" si="75"/>
        <v>1</v>
      </c>
    </row>
    <row r="174" spans="1:32" ht="20.100000000000001" customHeight="1" thickBot="1" x14ac:dyDescent="0.35">
      <c r="A174" s="74">
        <v>3</v>
      </c>
      <c r="B174" s="75" t="str">
        <f>IF('[1]classement poule 1ère phase'!B174="","9EME 1ER",'[1]classement poule 1ère phase'!B174)</f>
        <v>HARNES</v>
      </c>
      <c r="F174" s="68" t="s">
        <v>102</v>
      </c>
      <c r="G174" s="53" t="str">
        <f>B172</f>
        <v>CANNES</v>
      </c>
      <c r="H174" s="54">
        <v>25</v>
      </c>
      <c r="I174" s="54">
        <v>12</v>
      </c>
      <c r="J174" s="54">
        <v>25</v>
      </c>
      <c r="K174" s="54">
        <v>17</v>
      </c>
      <c r="L174" s="54"/>
      <c r="M174" s="54"/>
      <c r="N174" s="55" t="str">
        <f>B174</f>
        <v>HARNES</v>
      </c>
      <c r="O174" s="56"/>
      <c r="P174" s="57">
        <f>IF(H174&gt;I174,1,0)+IF(J174&gt;K174,1,0)+IF(L174&gt;M174,1,0)</f>
        <v>2</v>
      </c>
      <c r="Q174" s="58">
        <f>IF(I174&gt;H174,1,0)+IF(K174&gt;J174,1,0)+IF(M174&gt;L174,1,0)</f>
        <v>0</v>
      </c>
      <c r="R174" s="59"/>
      <c r="S174" s="57">
        <f>H174+J174+L174</f>
        <v>50</v>
      </c>
      <c r="T174" s="60">
        <f>I174+K174+M174</f>
        <v>29</v>
      </c>
      <c r="U174" s="61"/>
      <c r="V174" s="62" t="str">
        <f>B173</f>
        <v>RIXHEIM</v>
      </c>
    </row>
    <row r="175" spans="1:32" ht="5.0999999999999996" customHeight="1" thickBot="1" x14ac:dyDescent="0.35">
      <c r="A175" s="69"/>
      <c r="B175" s="69"/>
      <c r="C175" s="70"/>
      <c r="D175" s="70"/>
      <c r="E175" s="70"/>
      <c r="F175" s="71"/>
      <c r="G175" s="72"/>
      <c r="H175" s="72"/>
      <c r="I175" s="72"/>
      <c r="J175" s="72"/>
      <c r="K175" s="72"/>
      <c r="L175" s="72"/>
      <c r="M175" s="72"/>
      <c r="N175" s="72"/>
      <c r="O175" s="71"/>
      <c r="P175" s="69"/>
      <c r="Q175" s="69"/>
      <c r="R175" s="69"/>
      <c r="S175" s="69"/>
      <c r="T175" s="69"/>
      <c r="U175" s="71"/>
      <c r="V175" s="73"/>
      <c r="X175" s="70"/>
      <c r="Y175" s="69"/>
      <c r="Z175" s="70"/>
      <c r="AA175" s="70"/>
      <c r="AB175" s="70"/>
      <c r="AC175" s="76"/>
      <c r="AD175" s="70"/>
      <c r="AE175" s="70"/>
      <c r="AF175" s="76"/>
    </row>
    <row r="176" spans="1:32" ht="39.9" customHeight="1" x14ac:dyDescent="0.3">
      <c r="F176" s="2" t="s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4"/>
    </row>
    <row r="177" spans="1:32" ht="39.9" customHeight="1" x14ac:dyDescent="0.3">
      <c r="F177" s="6" t="s">
        <v>117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8"/>
    </row>
    <row r="178" spans="1:32" ht="30" customHeight="1" thickBot="1" x14ac:dyDescent="0.35">
      <c r="F178" s="9" t="s">
        <v>2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1"/>
    </row>
    <row r="179" spans="1:32" ht="20.100000000000001" customHeight="1" x14ac:dyDescent="0.3"/>
    <row r="180" spans="1:32" ht="20.100000000000001" customHeight="1" thickBot="1" x14ac:dyDescent="0.4">
      <c r="F180" s="13" t="s">
        <v>118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32" ht="20.100000000000001" customHeight="1" thickBot="1" x14ac:dyDescent="0.35">
      <c r="F181" s="14" t="s">
        <v>4</v>
      </c>
      <c r="G181" s="15" t="s">
        <v>34</v>
      </c>
      <c r="H181" s="16"/>
      <c r="I181" s="16"/>
      <c r="J181" s="16"/>
      <c r="K181" s="16"/>
      <c r="L181" s="16"/>
      <c r="M181" s="16"/>
      <c r="N181" s="16"/>
      <c r="O181" s="17"/>
      <c r="P181" s="18" t="s">
        <v>6</v>
      </c>
      <c r="Q181" s="19"/>
      <c r="R181" s="20"/>
      <c r="S181" s="18" t="s">
        <v>7</v>
      </c>
      <c r="T181" s="21"/>
      <c r="U181" s="22"/>
      <c r="V181" s="23" t="s">
        <v>8</v>
      </c>
      <c r="Z181" s="24" t="s">
        <v>9</v>
      </c>
      <c r="AA181" s="24" t="s">
        <v>10</v>
      </c>
      <c r="AB181" s="24" t="s">
        <v>11</v>
      </c>
      <c r="AC181" s="24" t="s">
        <v>12</v>
      </c>
      <c r="AD181" s="24" t="s">
        <v>13</v>
      </c>
      <c r="AE181" s="24" t="s">
        <v>14</v>
      </c>
      <c r="AF181" s="24" t="s">
        <v>15</v>
      </c>
    </row>
    <row r="182" spans="1:32" ht="20.100000000000001" customHeight="1" x14ac:dyDescent="0.3">
      <c r="A182" s="25"/>
      <c r="B182" s="26" t="s">
        <v>119</v>
      </c>
      <c r="F182" s="27"/>
      <c r="G182" s="28"/>
      <c r="H182" s="29" t="s">
        <v>17</v>
      </c>
      <c r="I182" s="30"/>
      <c r="J182" s="29" t="s">
        <v>18</v>
      </c>
      <c r="K182" s="30"/>
      <c r="L182" s="29" t="s">
        <v>19</v>
      </c>
      <c r="M182" s="30"/>
      <c r="N182" s="28"/>
      <c r="O182" s="31"/>
      <c r="P182" s="32"/>
      <c r="Q182" s="33"/>
      <c r="R182" s="34"/>
      <c r="S182" s="32"/>
      <c r="T182" s="35"/>
      <c r="U182" s="36"/>
      <c r="V182" s="37"/>
      <c r="Y182" s="38" t="str">
        <f>B183</f>
        <v>CD 71-1</v>
      </c>
      <c r="Z182">
        <f>+IF(P183&gt;Q183,2,1)+IF(P185&gt;Q185,2,1)</f>
        <v>2</v>
      </c>
      <c r="AA182">
        <f>+P183+P185</f>
        <v>0</v>
      </c>
      <c r="AB182">
        <f>+Q183+Q185</f>
        <v>4</v>
      </c>
      <c r="AC182" s="39">
        <f>IF(AB182=0,"MAX",AA182/AB182)</f>
        <v>0</v>
      </c>
      <c r="AD182">
        <f>+S183+S185</f>
        <v>87</v>
      </c>
      <c r="AE182">
        <f>+T183+T185</f>
        <v>103</v>
      </c>
      <c r="AF182" s="39">
        <f>IF(AE182=0,"MAX",AD182/AE182)</f>
        <v>0.84466019417475724</v>
      </c>
    </row>
    <row r="183" spans="1:32" ht="20.100000000000001" customHeight="1" x14ac:dyDescent="0.3">
      <c r="A183" s="25">
        <v>1</v>
      </c>
      <c r="B183" s="38" t="str">
        <f>IF('[1]classement poule 1ère phase'!B147="","3EME POULE J",'[1]classement poule 1ère phase'!B147)</f>
        <v>CD 71-1</v>
      </c>
      <c r="F183" s="40" t="s">
        <v>100</v>
      </c>
      <c r="G183" s="41" t="str">
        <f>B183</f>
        <v>CD 71-1</v>
      </c>
      <c r="H183" s="42">
        <v>21</v>
      </c>
      <c r="I183" s="42">
        <v>25</v>
      </c>
      <c r="J183" s="42">
        <v>21</v>
      </c>
      <c r="K183" s="42">
        <v>25</v>
      </c>
      <c r="L183" s="42"/>
      <c r="M183" s="42"/>
      <c r="N183" s="43" t="str">
        <f>B184</f>
        <v>THIMISTER 3</v>
      </c>
      <c r="O183" s="31"/>
      <c r="P183" s="38">
        <f>IF(H183&gt;I183,1,0)+IF(J183&gt;K183,1,0)+IF(L183&gt;M183,1,0)</f>
        <v>0</v>
      </c>
      <c r="Q183" s="44">
        <f>IF(I183&gt;H183,1,0)+IF(K183&gt;J183,1,0)+IF(M183&gt;L183,1,0)</f>
        <v>2</v>
      </c>
      <c r="R183" s="45"/>
      <c r="S183" s="38">
        <f>H183+J183+L183</f>
        <v>42</v>
      </c>
      <c r="T183" s="46">
        <f>I183+K183+M183</f>
        <v>50</v>
      </c>
      <c r="U183" s="36"/>
      <c r="V183" s="47" t="str">
        <f>B185</f>
        <v>CD 21</v>
      </c>
      <c r="Y183" s="44" t="str">
        <f>B184</f>
        <v>THIMISTER 3</v>
      </c>
      <c r="Z183">
        <f>+IF(Q183&gt;P183,2,1)+IF(P184&gt;Q184,2,1)</f>
        <v>3</v>
      </c>
      <c r="AA183">
        <f>+Q183+P184</f>
        <v>2</v>
      </c>
      <c r="AB183">
        <f>+P183+Q184</f>
        <v>2</v>
      </c>
      <c r="AC183" s="39">
        <f>IF(AB183=0,"MAX",AA183/AB183)</f>
        <v>1</v>
      </c>
      <c r="AD183">
        <f>+T183+S184</f>
        <v>82</v>
      </c>
      <c r="AE183">
        <f>+S183+T184</f>
        <v>92</v>
      </c>
      <c r="AF183" s="39">
        <f>IF(AE183=0,"MAX",AD183/AE183)</f>
        <v>0.89130434782608692</v>
      </c>
    </row>
    <row r="184" spans="1:32" ht="20.100000000000001" customHeight="1" x14ac:dyDescent="0.3">
      <c r="A184" s="25">
        <v>2</v>
      </c>
      <c r="B184" s="44" t="str">
        <f>IF('[1]classement poule 1ère phase'!B133="","3EME POULE H",'[1]classement poule 1ère phase'!B133)</f>
        <v>THIMISTER 3</v>
      </c>
      <c r="F184" s="40" t="s">
        <v>102</v>
      </c>
      <c r="G184" s="43" t="str">
        <f>B184</f>
        <v>THIMISTER 3</v>
      </c>
      <c r="H184" s="42">
        <v>19</v>
      </c>
      <c r="I184" s="42">
        <v>25</v>
      </c>
      <c r="J184" s="42">
        <v>13</v>
      </c>
      <c r="K184" s="42">
        <v>25</v>
      </c>
      <c r="L184" s="42"/>
      <c r="M184" s="42"/>
      <c r="N184" s="48" t="str">
        <f>B185</f>
        <v>CD 21</v>
      </c>
      <c r="O184" s="31"/>
      <c r="P184" s="44">
        <f t="shared" ref="P184" si="79">IF(H184&gt;I184,1,0)+IF(J184&gt;K184,1,0)+IF(L184&gt;M184,1,0)</f>
        <v>0</v>
      </c>
      <c r="Q184" s="49">
        <f t="shared" ref="Q184" si="80">IF(I184&gt;H184,1,0)+IF(K184&gt;J184,1,0)+IF(M184&gt;L184,1,0)</f>
        <v>2</v>
      </c>
      <c r="R184" s="45"/>
      <c r="S184" s="44">
        <f t="shared" ref="S184:T184" si="81">H184+J184+L184</f>
        <v>32</v>
      </c>
      <c r="T184" s="50">
        <f t="shared" si="81"/>
        <v>50</v>
      </c>
      <c r="U184" s="36"/>
      <c r="V184" s="47" t="str">
        <f>B183</f>
        <v>CD 71-1</v>
      </c>
      <c r="Y184" s="51" t="str">
        <f>B185</f>
        <v>CD 21</v>
      </c>
      <c r="Z184">
        <f>+IF(Q184&gt;P184,2,1)+IF(Q185&gt;P185,2,1)</f>
        <v>4</v>
      </c>
      <c r="AA184">
        <f>+Q184+Q185</f>
        <v>4</v>
      </c>
      <c r="AB184">
        <f>+P184+P185</f>
        <v>0</v>
      </c>
      <c r="AC184" s="39" t="str">
        <f>IF(AB184=0,"MAX",AA184/AB184)</f>
        <v>MAX</v>
      </c>
      <c r="AD184">
        <f>+T184+T185</f>
        <v>103</v>
      </c>
      <c r="AE184">
        <f>+S184+S185</f>
        <v>77</v>
      </c>
      <c r="AF184" s="39">
        <f>IF(AE184=0,"MAX",AD184/AE184)</f>
        <v>1.3376623376623376</v>
      </c>
    </row>
    <row r="185" spans="1:32" ht="20.100000000000001" customHeight="1" thickBot="1" x14ac:dyDescent="0.35">
      <c r="A185" s="25">
        <v>3</v>
      </c>
      <c r="B185" s="51" t="str">
        <f>IF('[1]classement poule 1ère phase'!B112="","3EME POULE E",'[1]classement poule 1ère phase'!B112)</f>
        <v>CD 21</v>
      </c>
      <c r="F185" s="68" t="s">
        <v>120</v>
      </c>
      <c r="G185" s="53" t="str">
        <f>B183</f>
        <v>CD 71-1</v>
      </c>
      <c r="H185" s="54">
        <v>26</v>
      </c>
      <c r="I185" s="54">
        <v>28</v>
      </c>
      <c r="J185" s="54">
        <v>19</v>
      </c>
      <c r="K185" s="54">
        <v>25</v>
      </c>
      <c r="L185" s="54"/>
      <c r="M185" s="54"/>
      <c r="N185" s="55" t="str">
        <f>B185</f>
        <v>CD 21</v>
      </c>
      <c r="O185" s="56"/>
      <c r="P185" s="57">
        <f>IF(H185&gt;I185,1,0)+IF(J185&gt;K185,1,0)+IF(L185&gt;M185,1,0)</f>
        <v>0</v>
      </c>
      <c r="Q185" s="58">
        <f>IF(I185&gt;H185,1,0)+IF(K185&gt;J185,1,0)+IF(M185&gt;L185,1,0)</f>
        <v>2</v>
      </c>
      <c r="R185" s="59"/>
      <c r="S185" s="57">
        <f>H185+J185+L185</f>
        <v>45</v>
      </c>
      <c r="T185" s="60">
        <f>I185+K185+M185</f>
        <v>53</v>
      </c>
      <c r="U185" s="61"/>
      <c r="V185" s="62" t="str">
        <f>B184</f>
        <v>THIMISTER 3</v>
      </c>
    </row>
    <row r="186" spans="1:32" ht="20.100000000000001" customHeight="1" x14ac:dyDescent="0.3">
      <c r="Y186" s="70"/>
      <c r="Z186" s="70"/>
      <c r="AA186" s="70"/>
      <c r="AB186" s="70"/>
      <c r="AC186" s="70"/>
      <c r="AD186" s="70"/>
      <c r="AE186" s="70"/>
      <c r="AF186" s="70"/>
    </row>
    <row r="187" spans="1:32" ht="20.100000000000001" customHeight="1" thickBot="1" x14ac:dyDescent="0.4">
      <c r="F187" s="13" t="s">
        <v>121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32" ht="20.100000000000001" customHeight="1" thickBot="1" x14ac:dyDescent="0.35">
      <c r="F188" s="14" t="s">
        <v>4</v>
      </c>
      <c r="G188" s="15" t="s">
        <v>52</v>
      </c>
      <c r="H188" s="16"/>
      <c r="I188" s="16"/>
      <c r="J188" s="16"/>
      <c r="K188" s="16"/>
      <c r="L188" s="16"/>
      <c r="M188" s="16"/>
      <c r="N188" s="16"/>
      <c r="O188" s="17"/>
      <c r="P188" s="18" t="s">
        <v>6</v>
      </c>
      <c r="Q188" s="19"/>
      <c r="R188" s="20"/>
      <c r="S188" s="18" t="s">
        <v>7</v>
      </c>
      <c r="T188" s="63"/>
      <c r="U188" s="22"/>
      <c r="V188" s="23" t="s">
        <v>8</v>
      </c>
      <c r="Z188" s="24" t="s">
        <v>9</v>
      </c>
      <c r="AA188" s="24" t="s">
        <v>10</v>
      </c>
      <c r="AB188" s="24" t="s">
        <v>11</v>
      </c>
      <c r="AC188" s="24" t="s">
        <v>12</v>
      </c>
      <c r="AD188" s="24" t="s">
        <v>13</v>
      </c>
      <c r="AE188" s="24" t="s">
        <v>14</v>
      </c>
      <c r="AF188" s="24" t="s">
        <v>15</v>
      </c>
    </row>
    <row r="189" spans="1:32" ht="20.100000000000001" customHeight="1" x14ac:dyDescent="0.3">
      <c r="A189" s="64"/>
      <c r="B189" s="26" t="s">
        <v>122</v>
      </c>
      <c r="F189" s="27"/>
      <c r="G189" s="28"/>
      <c r="H189" s="29" t="s">
        <v>17</v>
      </c>
      <c r="I189" s="30"/>
      <c r="J189" s="29" t="s">
        <v>18</v>
      </c>
      <c r="K189" s="30"/>
      <c r="L189" s="29" t="s">
        <v>19</v>
      </c>
      <c r="M189" s="30"/>
      <c r="N189" s="28"/>
      <c r="O189" s="31"/>
      <c r="P189" s="32"/>
      <c r="Q189" s="33"/>
      <c r="R189" s="34"/>
      <c r="S189" s="32"/>
      <c r="T189" s="66"/>
      <c r="U189" s="36"/>
      <c r="V189" s="37"/>
      <c r="Y189" s="38" t="str">
        <f>B190</f>
        <v>CD 67</v>
      </c>
      <c r="Z189">
        <f>+IF(P190&gt;Q190,2,1)+IF(P192&gt;Q192,2,1)</f>
        <v>2</v>
      </c>
      <c r="AA189">
        <f>+P190+P192</f>
        <v>0</v>
      </c>
      <c r="AB189">
        <f>+Q190+Q192</f>
        <v>4</v>
      </c>
      <c r="AC189" s="39">
        <f>IF(AB189=0,"MAX",AA189/AB189)</f>
        <v>0</v>
      </c>
      <c r="AD189">
        <f>+S190+S192</f>
        <v>53</v>
      </c>
      <c r="AE189">
        <f>+T190+T192</f>
        <v>100</v>
      </c>
      <c r="AF189" s="39">
        <f>IF(AE189=0,"MAX",AD189/AE189)</f>
        <v>0.53</v>
      </c>
    </row>
    <row r="190" spans="1:32" ht="20.100000000000001" customHeight="1" x14ac:dyDescent="0.3">
      <c r="A190" s="25">
        <v>1</v>
      </c>
      <c r="B190" s="38" t="str">
        <f>IF('[1]classement poule 1ère phase'!B161="","3EME POULE L",'[1]classement poule 1ère phase'!B161)</f>
        <v>CD 67</v>
      </c>
      <c r="F190" s="40" t="s">
        <v>100</v>
      </c>
      <c r="G190" s="41" t="str">
        <f>B190</f>
        <v>CD 67</v>
      </c>
      <c r="H190" s="42">
        <v>13</v>
      </c>
      <c r="I190" s="42">
        <v>25</v>
      </c>
      <c r="J190" s="42">
        <v>14</v>
      </c>
      <c r="K190" s="42">
        <v>25</v>
      </c>
      <c r="L190" s="42"/>
      <c r="M190" s="42"/>
      <c r="N190" s="43" t="str">
        <f>B191</f>
        <v>DORNBIRN 2</v>
      </c>
      <c r="O190" s="31"/>
      <c r="P190" s="38">
        <f>IF(H190&gt;I190,1,0)+IF(J190&gt;K190,1,0)+IF(L190&gt;M190,1,0)</f>
        <v>0</v>
      </c>
      <c r="Q190" s="44">
        <f>IF(I190&gt;H190,1,0)+IF(K190&gt;J190,1,0)+IF(M190&gt;L190,1,0)</f>
        <v>2</v>
      </c>
      <c r="R190" s="45"/>
      <c r="S190" s="38">
        <f>H190+J190+L190</f>
        <v>27</v>
      </c>
      <c r="T190" s="46">
        <f>I190+K190+M190</f>
        <v>50</v>
      </c>
      <c r="U190" s="36"/>
      <c r="V190" s="47" t="str">
        <f>B192</f>
        <v>HÖCHST 2</v>
      </c>
      <c r="Y190" s="44" t="str">
        <f>B191</f>
        <v>DORNBIRN 2</v>
      </c>
      <c r="Z190">
        <f>+IF(Q190&gt;P190,2,1)+IF(P191&gt;Q191,2,1)</f>
        <v>3</v>
      </c>
      <c r="AA190">
        <f>+Q190+P191</f>
        <v>2</v>
      </c>
      <c r="AB190">
        <f>+P190+Q191</f>
        <v>2</v>
      </c>
      <c r="AC190" s="39">
        <f t="shared" ref="AC190:AC191" si="82">IF(AB190=0,"MAX",AA190/AB190)</f>
        <v>1</v>
      </c>
      <c r="AD190">
        <f>+T190+S191</f>
        <v>84</v>
      </c>
      <c r="AE190">
        <f>+S190+T191</f>
        <v>77</v>
      </c>
      <c r="AF190" s="39">
        <f t="shared" ref="AF190:AF191" si="83">IF(AE190=0,"MAX",AD190/AE190)</f>
        <v>1.0909090909090908</v>
      </c>
    </row>
    <row r="191" spans="1:32" ht="20.100000000000001" customHeight="1" thickBot="1" x14ac:dyDescent="0.35">
      <c r="A191" s="25">
        <v>2</v>
      </c>
      <c r="B191" s="44" t="str">
        <f>IF('[1]classement poule 1ère phase'!B126="","3EME POULE G",'[1]classement poule 1ère phase'!B126)</f>
        <v>DORNBIRN 2</v>
      </c>
      <c r="F191" s="40" t="s">
        <v>102</v>
      </c>
      <c r="G191" s="43" t="str">
        <f>B191</f>
        <v>DORNBIRN 2</v>
      </c>
      <c r="H191" s="42">
        <v>13</v>
      </c>
      <c r="I191" s="42">
        <v>25</v>
      </c>
      <c r="J191" s="42">
        <v>21</v>
      </c>
      <c r="K191" s="42">
        <v>25</v>
      </c>
      <c r="L191" s="42"/>
      <c r="M191" s="42"/>
      <c r="N191" s="48" t="str">
        <f>B192</f>
        <v>HÖCHST 2</v>
      </c>
      <c r="O191" s="56"/>
      <c r="P191" s="67">
        <f t="shared" ref="P191" si="84">IF(H191&gt;I191,1,0)+IF(J191&gt;K191,1,0)+IF(L191&gt;M191,1,0)</f>
        <v>0</v>
      </c>
      <c r="Q191" s="58">
        <f t="shared" ref="Q191" si="85">IF(I191&gt;H191,1,0)+IF(K191&gt;J191,1,0)+IF(M191&gt;L191,1,0)</f>
        <v>2</v>
      </c>
      <c r="R191" s="59"/>
      <c r="S191" s="67">
        <f t="shared" ref="S191:T191" si="86">H191+J191+L191</f>
        <v>34</v>
      </c>
      <c r="T191" s="60">
        <f t="shared" si="86"/>
        <v>50</v>
      </c>
      <c r="U191" s="61"/>
      <c r="V191" s="47" t="str">
        <f>B190</f>
        <v>CD 67</v>
      </c>
      <c r="Y191" s="51" t="str">
        <f>B192</f>
        <v>HÖCHST 2</v>
      </c>
      <c r="Z191">
        <f>+IF(Q192&gt;P192,2,1)+IF(Q191&gt;P191,2,1)</f>
        <v>4</v>
      </c>
      <c r="AA191">
        <f>+Q192+Q191</f>
        <v>4</v>
      </c>
      <c r="AB191">
        <f>+P192+P191</f>
        <v>0</v>
      </c>
      <c r="AC191" s="39" t="str">
        <f t="shared" si="82"/>
        <v>MAX</v>
      </c>
      <c r="AD191">
        <f>+T192+T191</f>
        <v>100</v>
      </c>
      <c r="AE191">
        <f>+S192+S191</f>
        <v>60</v>
      </c>
      <c r="AF191" s="39">
        <f t="shared" si="83"/>
        <v>1.6666666666666667</v>
      </c>
    </row>
    <row r="192" spans="1:32" ht="20.100000000000001" customHeight="1" thickBot="1" x14ac:dyDescent="0.35">
      <c r="A192" s="74">
        <v>3</v>
      </c>
      <c r="B192" s="75" t="str">
        <f>IF('[1]classement poule 1ère phase'!B105="","3EME POULE D",'[1]classement poule 1ère phase'!B105)</f>
        <v>HÖCHST 2</v>
      </c>
      <c r="F192" s="68" t="s">
        <v>120</v>
      </c>
      <c r="G192" s="53" t="str">
        <f>B190</f>
        <v>CD 67</v>
      </c>
      <c r="H192" s="54">
        <v>16</v>
      </c>
      <c r="I192" s="54">
        <v>25</v>
      </c>
      <c r="J192" s="54">
        <v>10</v>
      </c>
      <c r="K192" s="54">
        <v>25</v>
      </c>
      <c r="L192" s="54"/>
      <c r="M192" s="54"/>
      <c r="N192" s="55" t="str">
        <f>B192</f>
        <v>HÖCHST 2</v>
      </c>
      <c r="O192" s="56"/>
      <c r="P192" s="57">
        <f>IF(H192&gt;I192,1,0)+IF(J192&gt;K192,1,0)+IF(L192&gt;M192,1,0)</f>
        <v>0</v>
      </c>
      <c r="Q192" s="58">
        <f>IF(I192&gt;H192,1,0)+IF(K192&gt;J192,1,0)+IF(M192&gt;L192,1,0)</f>
        <v>2</v>
      </c>
      <c r="R192" s="59"/>
      <c r="S192" s="57">
        <f>H192+J192+L192</f>
        <v>26</v>
      </c>
      <c r="T192" s="60">
        <f>I192+K192+M192</f>
        <v>50</v>
      </c>
      <c r="U192" s="61"/>
      <c r="V192" s="62" t="str">
        <f>B191</f>
        <v>DORNBIRN 2</v>
      </c>
    </row>
    <row r="193" spans="1:32" ht="20.100000000000001" customHeight="1" x14ac:dyDescent="0.3">
      <c r="A193" s="69"/>
      <c r="B193" s="69"/>
      <c r="C193" s="70"/>
      <c r="D193" s="70"/>
      <c r="E193" s="70"/>
      <c r="F193" s="71"/>
      <c r="G193" s="72"/>
      <c r="H193" s="72"/>
      <c r="I193" s="72"/>
      <c r="J193" s="72"/>
      <c r="K193" s="72"/>
      <c r="L193" s="72"/>
      <c r="M193" s="72"/>
      <c r="N193" s="72"/>
      <c r="O193" s="71"/>
      <c r="P193" s="69"/>
      <c r="Q193" s="69"/>
      <c r="R193" s="69"/>
      <c r="S193" s="69"/>
      <c r="T193" s="69"/>
      <c r="U193" s="71"/>
      <c r="V193" s="73"/>
      <c r="X193" s="70"/>
      <c r="Y193" s="69"/>
      <c r="Z193" s="70"/>
      <c r="AA193" s="70"/>
      <c r="AB193" s="70"/>
      <c r="AC193" s="76"/>
      <c r="AD193" s="70"/>
      <c r="AE193" s="70"/>
      <c r="AF193" s="76"/>
    </row>
    <row r="194" spans="1:32" ht="20.100000000000001" customHeight="1" thickBot="1" x14ac:dyDescent="0.4">
      <c r="F194" s="13" t="s">
        <v>123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X194" s="70"/>
      <c r="Y194" s="69"/>
      <c r="Z194" s="70"/>
      <c r="AA194" s="70"/>
      <c r="AB194" s="70"/>
      <c r="AC194" s="76"/>
      <c r="AD194" s="70"/>
      <c r="AE194" s="70"/>
      <c r="AF194" s="76"/>
    </row>
    <row r="195" spans="1:32" ht="20.100000000000001" customHeight="1" thickBot="1" x14ac:dyDescent="0.35">
      <c r="F195" s="14" t="s">
        <v>4</v>
      </c>
      <c r="G195" s="15" t="s">
        <v>70</v>
      </c>
      <c r="H195" s="16"/>
      <c r="I195" s="16"/>
      <c r="J195" s="16"/>
      <c r="K195" s="16"/>
      <c r="L195" s="16"/>
      <c r="M195" s="16"/>
      <c r="N195" s="16"/>
      <c r="O195" s="17"/>
      <c r="P195" s="18" t="s">
        <v>6</v>
      </c>
      <c r="Q195" s="19"/>
      <c r="R195" s="20"/>
      <c r="S195" s="18" t="s">
        <v>7</v>
      </c>
      <c r="T195" s="21"/>
      <c r="U195" s="22"/>
      <c r="V195" s="23" t="s">
        <v>8</v>
      </c>
      <c r="X195" s="70"/>
      <c r="Z195" s="24" t="s">
        <v>9</v>
      </c>
      <c r="AA195" s="24" t="s">
        <v>10</v>
      </c>
      <c r="AB195" s="24" t="s">
        <v>11</v>
      </c>
      <c r="AC195" s="24" t="s">
        <v>12</v>
      </c>
      <c r="AD195" s="24" t="s">
        <v>13</v>
      </c>
      <c r="AE195" s="24" t="s">
        <v>14</v>
      </c>
      <c r="AF195" s="24" t="s">
        <v>15</v>
      </c>
    </row>
    <row r="196" spans="1:32" ht="20.100000000000001" customHeight="1" x14ac:dyDescent="0.3">
      <c r="A196" s="25"/>
      <c r="B196" s="26" t="s">
        <v>124</v>
      </c>
      <c r="F196" s="27"/>
      <c r="G196" s="28"/>
      <c r="H196" s="29" t="s">
        <v>17</v>
      </c>
      <c r="I196" s="30"/>
      <c r="J196" s="29" t="s">
        <v>18</v>
      </c>
      <c r="K196" s="30"/>
      <c r="L196" s="29" t="s">
        <v>19</v>
      </c>
      <c r="M196" s="30"/>
      <c r="N196" s="28"/>
      <c r="O196" s="31"/>
      <c r="P196" s="32"/>
      <c r="Q196" s="33"/>
      <c r="R196" s="34"/>
      <c r="S196" s="32"/>
      <c r="T196" s="35"/>
      <c r="U196" s="36"/>
      <c r="V196" s="37"/>
      <c r="X196" s="70"/>
      <c r="Y196" s="38" t="str">
        <f>B197</f>
        <v>THIMISTER 2</v>
      </c>
      <c r="Z196">
        <f>+IF(P197&gt;Q197,2,1)+IF(P199&gt;Q199,2,1)</f>
        <v>3</v>
      </c>
      <c r="AA196">
        <f>+P197+P199</f>
        <v>2</v>
      </c>
      <c r="AB196">
        <f>+Q197+Q199</f>
        <v>2</v>
      </c>
      <c r="AC196" s="39">
        <f>IF(AB196=0,"MAX",AA196/AB196)</f>
        <v>1</v>
      </c>
      <c r="AD196">
        <f>+S197+S199</f>
        <v>81</v>
      </c>
      <c r="AE196">
        <f>+T197+T199</f>
        <v>92</v>
      </c>
      <c r="AF196" s="39">
        <f>IF(AE196=0,"MAX",AD196/AE196)</f>
        <v>0.88043478260869568</v>
      </c>
    </row>
    <row r="197" spans="1:32" ht="20.100000000000001" customHeight="1" x14ac:dyDescent="0.3">
      <c r="A197" s="25">
        <v>1</v>
      </c>
      <c r="B197" s="38" t="str">
        <f>IF('[1]classement poule 1ère phase'!B154="","3EME POULE K",'[1]classement poule 1ère phase'!B154)</f>
        <v>THIMISTER 2</v>
      </c>
      <c r="F197" s="40" t="s">
        <v>100</v>
      </c>
      <c r="G197" s="41" t="str">
        <f>B197</f>
        <v>THIMISTER 2</v>
      </c>
      <c r="H197" s="42">
        <v>25</v>
      </c>
      <c r="I197" s="42">
        <v>19</v>
      </c>
      <c r="J197" s="42">
        <v>25</v>
      </c>
      <c r="K197" s="42">
        <v>23</v>
      </c>
      <c r="L197" s="42"/>
      <c r="M197" s="42"/>
      <c r="N197" s="43" t="str">
        <f>B198</f>
        <v>BELFORT</v>
      </c>
      <c r="O197" s="31"/>
      <c r="P197" s="38">
        <f>IF(H197&gt;I197,1,0)+IF(J197&gt;K197,1,0)+IF(L197&gt;M197,1,0)</f>
        <v>2</v>
      </c>
      <c r="Q197" s="44">
        <f>IF(I197&gt;H197,1,0)+IF(K197&gt;J197,1,0)+IF(M197&gt;L197,1,0)</f>
        <v>0</v>
      </c>
      <c r="R197" s="45"/>
      <c r="S197" s="38">
        <f>H197+J197+L197</f>
        <v>50</v>
      </c>
      <c r="T197" s="46">
        <f>I197+K197+M197</f>
        <v>42</v>
      </c>
      <c r="U197" s="36"/>
      <c r="V197" s="47" t="str">
        <f>B199</f>
        <v>BIRKACH</v>
      </c>
      <c r="X197" s="70"/>
      <c r="Y197" s="44" t="str">
        <f>B198</f>
        <v>BELFORT</v>
      </c>
      <c r="Z197">
        <f>+IF(Q197&gt;P197,2,1)+IF(P198&gt;Q198,2,1)</f>
        <v>2</v>
      </c>
      <c r="AA197">
        <f>+Q197+P198</f>
        <v>1</v>
      </c>
      <c r="AB197">
        <f>+P197+Q198</f>
        <v>4</v>
      </c>
      <c r="AC197" s="39">
        <f>IF(AB197=0,"MAX",AA197/AB197)</f>
        <v>0.25</v>
      </c>
      <c r="AD197">
        <f>+T197+S198</f>
        <v>99</v>
      </c>
      <c r="AE197">
        <f>+S197+T198</f>
        <v>113</v>
      </c>
      <c r="AF197" s="39">
        <f>IF(AE197=0,"MAX",AD197/AE197)</f>
        <v>0.87610619469026552</v>
      </c>
    </row>
    <row r="198" spans="1:32" ht="20.100000000000001" customHeight="1" x14ac:dyDescent="0.3">
      <c r="A198" s="25">
        <v>2</v>
      </c>
      <c r="B198" s="44" t="str">
        <f>IF('[1]classement poule 1ère phase'!B119="","3EME POULE F",'[1]classement poule 1ère phase'!B119)</f>
        <v>BELFORT</v>
      </c>
      <c r="F198" s="40" t="s">
        <v>102</v>
      </c>
      <c r="G198" s="43" t="str">
        <f>B198</f>
        <v>BELFORT</v>
      </c>
      <c r="H198" s="42">
        <v>19</v>
      </c>
      <c r="I198" s="42">
        <v>25</v>
      </c>
      <c r="J198" s="42">
        <v>25</v>
      </c>
      <c r="K198" s="42">
        <v>23</v>
      </c>
      <c r="L198" s="42">
        <v>13</v>
      </c>
      <c r="M198" s="42">
        <v>15</v>
      </c>
      <c r="N198" s="48" t="str">
        <f>B199</f>
        <v>BIRKACH</v>
      </c>
      <c r="O198" s="31"/>
      <c r="P198" s="44">
        <f t="shared" ref="P198" si="87">IF(H198&gt;I198,1,0)+IF(J198&gt;K198,1,0)+IF(L198&gt;M198,1,0)</f>
        <v>1</v>
      </c>
      <c r="Q198" s="49">
        <f t="shared" ref="Q198" si="88">IF(I198&gt;H198,1,0)+IF(K198&gt;J198,1,0)+IF(M198&gt;L198,1,0)</f>
        <v>2</v>
      </c>
      <c r="R198" s="45"/>
      <c r="S198" s="44">
        <f t="shared" ref="S198:T198" si="89">H198+J198+L198</f>
        <v>57</v>
      </c>
      <c r="T198" s="50">
        <f t="shared" si="89"/>
        <v>63</v>
      </c>
      <c r="U198" s="36"/>
      <c r="V198" s="47" t="str">
        <f>B197</f>
        <v>THIMISTER 2</v>
      </c>
      <c r="X198" s="70"/>
      <c r="Y198" s="51" t="str">
        <f>B199</f>
        <v>BIRKACH</v>
      </c>
      <c r="Z198">
        <f>+IF(Q198&gt;P198,2,1)+IF(Q199&gt;P199,2,1)</f>
        <v>4</v>
      </c>
      <c r="AA198">
        <f>+Q198+Q199</f>
        <v>4</v>
      </c>
      <c r="AB198">
        <f>+P198+P199</f>
        <v>1</v>
      </c>
      <c r="AC198" s="39">
        <f>IF(AB198=0,"MAX",AA198/AB198)</f>
        <v>4</v>
      </c>
      <c r="AD198">
        <f>+T198+T199</f>
        <v>113</v>
      </c>
      <c r="AE198">
        <f>+S198+S199</f>
        <v>88</v>
      </c>
      <c r="AF198" s="39">
        <f>IF(AE198=0,"MAX",AD198/AE198)</f>
        <v>1.2840909090909092</v>
      </c>
    </row>
    <row r="199" spans="1:32" ht="20.100000000000001" customHeight="1" thickBot="1" x14ac:dyDescent="0.35">
      <c r="A199" s="25">
        <v>3</v>
      </c>
      <c r="B199" s="51" t="str">
        <f>IF('[1]classement poule 1ère phase'!B98="","3EME POULE C",'[1]classement poule 1ère phase'!B98)</f>
        <v>BIRKACH</v>
      </c>
      <c r="F199" s="68" t="s">
        <v>120</v>
      </c>
      <c r="G199" s="53" t="str">
        <f>B197</f>
        <v>THIMISTER 2</v>
      </c>
      <c r="H199" s="54">
        <v>21</v>
      </c>
      <c r="I199" s="54">
        <v>25</v>
      </c>
      <c r="J199" s="54">
        <v>10</v>
      </c>
      <c r="K199" s="54">
        <v>25</v>
      </c>
      <c r="L199" s="54"/>
      <c r="M199" s="54"/>
      <c r="N199" s="55" t="str">
        <f>B199</f>
        <v>BIRKACH</v>
      </c>
      <c r="O199" s="56"/>
      <c r="P199" s="57">
        <f>IF(H199&gt;I199,1,0)+IF(J199&gt;K199,1,0)+IF(L199&gt;M199,1,0)</f>
        <v>0</v>
      </c>
      <c r="Q199" s="58">
        <f>IF(I199&gt;H199,1,0)+IF(K199&gt;J199,1,0)+IF(M199&gt;L199,1,0)</f>
        <v>2</v>
      </c>
      <c r="R199" s="59"/>
      <c r="S199" s="57">
        <f>H199+J199+L199</f>
        <v>31</v>
      </c>
      <c r="T199" s="60">
        <f>I199+K199+M199</f>
        <v>50</v>
      </c>
      <c r="U199" s="61"/>
      <c r="V199" s="62" t="str">
        <f>B198</f>
        <v>BELFORT</v>
      </c>
    </row>
    <row r="200" spans="1:32" ht="20.100000000000001" customHeight="1" thickBot="1" x14ac:dyDescent="0.35"/>
    <row r="201" spans="1:32" ht="39.9" customHeight="1" x14ac:dyDescent="0.3">
      <c r="F201" s="2" t="s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4"/>
    </row>
    <row r="202" spans="1:32" ht="39.9" customHeight="1" x14ac:dyDescent="0.3">
      <c r="F202" s="6" t="s">
        <v>117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8"/>
    </row>
    <row r="203" spans="1:32" ht="30" customHeight="1" thickBot="1" x14ac:dyDescent="0.35">
      <c r="F203" s="9" t="s">
        <v>125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1"/>
    </row>
    <row r="204" spans="1:32" ht="20.100000000000001" customHeight="1" x14ac:dyDescent="0.3"/>
    <row r="205" spans="1:32" ht="20.100000000000001" customHeight="1" thickBot="1" x14ac:dyDescent="0.4">
      <c r="F205" s="13" t="s">
        <v>126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32" ht="20.100000000000001" customHeight="1" thickBot="1" x14ac:dyDescent="0.35">
      <c r="F206" s="14" t="s">
        <v>4</v>
      </c>
      <c r="G206" s="15" t="s">
        <v>80</v>
      </c>
      <c r="H206" s="16"/>
      <c r="I206" s="16"/>
      <c r="J206" s="16"/>
      <c r="K206" s="16"/>
      <c r="L206" s="16"/>
      <c r="M206" s="16"/>
      <c r="N206" s="16"/>
      <c r="O206" s="17"/>
      <c r="P206" s="18" t="s">
        <v>6</v>
      </c>
      <c r="Q206" s="19"/>
      <c r="R206" s="20"/>
      <c r="S206" s="18" t="s">
        <v>7</v>
      </c>
      <c r="T206" s="21"/>
      <c r="U206" s="36"/>
      <c r="V206" s="23" t="s">
        <v>8</v>
      </c>
    </row>
    <row r="207" spans="1:32" ht="20.100000000000001" customHeight="1" x14ac:dyDescent="0.3">
      <c r="F207" s="27"/>
      <c r="G207" s="28"/>
      <c r="H207" s="29" t="s">
        <v>17</v>
      </c>
      <c r="I207" s="30"/>
      <c r="J207" s="29" t="s">
        <v>18</v>
      </c>
      <c r="K207" s="30"/>
      <c r="L207" s="29" t="s">
        <v>19</v>
      </c>
      <c r="M207" s="30"/>
      <c r="N207" s="28"/>
      <c r="O207" s="31"/>
      <c r="P207" s="32"/>
      <c r="Q207" s="33"/>
      <c r="R207" s="34"/>
      <c r="S207" s="32"/>
      <c r="T207" s="35"/>
      <c r="U207" s="36"/>
      <c r="V207" s="37"/>
    </row>
    <row r="208" spans="1:32" ht="20.100000000000001" customHeight="1" x14ac:dyDescent="0.3">
      <c r="A208" s="25"/>
      <c r="B208" s="26" t="s">
        <v>127</v>
      </c>
      <c r="F208" s="83" t="s">
        <v>100</v>
      </c>
      <c r="G208" s="84" t="str">
        <f>B209</f>
        <v>NÜZIDERS</v>
      </c>
      <c r="H208" s="85">
        <v>25</v>
      </c>
      <c r="I208" s="85">
        <v>7</v>
      </c>
      <c r="J208" s="85">
        <v>25</v>
      </c>
      <c r="K208" s="85">
        <v>18</v>
      </c>
      <c r="L208" s="85"/>
      <c r="M208" s="85"/>
      <c r="N208" s="86" t="str">
        <f>B212</f>
        <v>CD 71-2</v>
      </c>
      <c r="O208" s="31"/>
      <c r="P208" s="38">
        <f>IF(H208&gt;I208,1,0)+IF(J208&gt;K208,1,0)+IF(L208&gt;M208,1,0)</f>
        <v>2</v>
      </c>
      <c r="Q208" s="44">
        <f>IF(I208&gt;H208,1,0)+IF(K208&gt;J208,1,0)+IF(M208&gt;L208,1,0)</f>
        <v>0</v>
      </c>
      <c r="R208" s="45"/>
      <c r="S208" s="38">
        <f>H208+J208+L208</f>
        <v>50</v>
      </c>
      <c r="T208" s="46">
        <f>I208+K208+M208</f>
        <v>25</v>
      </c>
      <c r="U208" s="36"/>
      <c r="V208" s="47" t="s">
        <v>92</v>
      </c>
      <c r="Z208" s="24" t="s">
        <v>9</v>
      </c>
      <c r="AA208" s="24" t="s">
        <v>10</v>
      </c>
      <c r="AB208" s="24" t="s">
        <v>11</v>
      </c>
      <c r="AC208" s="24" t="s">
        <v>12</v>
      </c>
      <c r="AD208" s="24" t="s">
        <v>13</v>
      </c>
      <c r="AE208" s="24" t="s">
        <v>14</v>
      </c>
      <c r="AF208" s="24" t="s">
        <v>15</v>
      </c>
    </row>
    <row r="209" spans="1:32" ht="20.100000000000001" customHeight="1" x14ac:dyDescent="0.3">
      <c r="A209" s="25">
        <v>1</v>
      </c>
      <c r="B209" s="38" t="str">
        <f>IF('[1]classement poule 1ère phase'!B84="","3EME POULE A",'[1]classement poule 1ère phase'!B84)</f>
        <v>NÜZIDERS</v>
      </c>
      <c r="F209" s="40" t="s">
        <v>102</v>
      </c>
      <c r="G209" s="84" t="str">
        <f>B209</f>
        <v>NÜZIDERS</v>
      </c>
      <c r="H209" s="85">
        <v>25</v>
      </c>
      <c r="I209" s="85">
        <v>9</v>
      </c>
      <c r="J209" s="85">
        <v>25</v>
      </c>
      <c r="K209" s="85">
        <v>16</v>
      </c>
      <c r="L209" s="85"/>
      <c r="M209" s="85"/>
      <c r="N209" s="87" t="str">
        <f>B211</f>
        <v>LA LOUVIERE</v>
      </c>
      <c r="O209" s="31"/>
      <c r="P209" s="38">
        <f t="shared" ref="P209" si="90">IF(H209&gt;I209,1,0)+IF(J209&gt;K209,1,0)+IF(L209&gt;M209,1,0)</f>
        <v>2</v>
      </c>
      <c r="Q209" s="49">
        <f t="shared" ref="Q209" si="91">IF(I209&gt;H209,1,0)+IF(K209&gt;J209,1,0)+IF(M209&gt;L209,1,0)</f>
        <v>0</v>
      </c>
      <c r="R209" s="45"/>
      <c r="S209" s="38">
        <f t="shared" ref="S209:T209" si="92">H209+J209+L209</f>
        <v>50</v>
      </c>
      <c r="T209" s="50">
        <f t="shared" si="92"/>
        <v>25</v>
      </c>
      <c r="U209" s="36"/>
      <c r="V209" s="47" t="s">
        <v>92</v>
      </c>
      <c r="Y209" s="38" t="str">
        <f>B209</f>
        <v>NÜZIDERS</v>
      </c>
      <c r="Z209">
        <f>IF(P208&gt;Q208,2,1)+IF(P209&gt;Q209,2,1)+IF(P215&gt;Q215,2,1)</f>
        <v>6</v>
      </c>
      <c r="AA209">
        <f>P208+P209+P215</f>
        <v>6</v>
      </c>
      <c r="AB209">
        <f>Q208+Q209+Q215</f>
        <v>0</v>
      </c>
      <c r="AC209" s="39" t="str">
        <f>IF(AB209=0,"MAX",AA209/AB209)</f>
        <v>MAX</v>
      </c>
      <c r="AD209">
        <f>S208+S209+S215</f>
        <v>150</v>
      </c>
      <c r="AE209">
        <f>T208+T209+T215</f>
        <v>83</v>
      </c>
      <c r="AF209" s="39">
        <f>IF(AE209=0,"MAX",AD209/AE209)</f>
        <v>1.8072289156626506</v>
      </c>
    </row>
    <row r="210" spans="1:32" ht="20.100000000000001" customHeight="1" x14ac:dyDescent="0.3">
      <c r="A210" s="25">
        <v>2</v>
      </c>
      <c r="B210" s="88" t="str">
        <f>IF('[1]classement poule 1ère phase'!B140="","3EME POULE I",'[1]classement poule 1ère phase'!B140)</f>
        <v>MAIZIERES LES METZ</v>
      </c>
      <c r="F210" s="40"/>
      <c r="G210" s="98" t="s">
        <v>87</v>
      </c>
      <c r="H210" s="99"/>
      <c r="I210" s="99"/>
      <c r="J210" s="99"/>
      <c r="K210" s="99"/>
      <c r="L210" s="99"/>
      <c r="M210" s="99"/>
      <c r="N210" s="100"/>
      <c r="O210" s="31"/>
      <c r="P210" s="79"/>
      <c r="Q210" s="79"/>
      <c r="R210" s="45"/>
      <c r="S210" s="79"/>
      <c r="T210" s="80"/>
      <c r="U210" s="81"/>
      <c r="V210" s="82"/>
      <c r="Y210" s="44" t="str">
        <f>B212</f>
        <v>CD 71-2</v>
      </c>
      <c r="Z210">
        <f>IF(Q208&gt;P208,2,1)+IF(P212&gt;Q212,2,1)+IF(P217&gt;Q217,2,1)</f>
        <v>3</v>
      </c>
      <c r="AA210">
        <f>Q208+P212+P217</f>
        <v>1</v>
      </c>
      <c r="AB210">
        <f>P208+Q212+Q217</f>
        <v>6</v>
      </c>
      <c r="AC210" s="39">
        <f t="shared" ref="AC210:AC212" si="93">IF(AB210=0,"MAX",AA210/AB210)</f>
        <v>0.16666666666666666</v>
      </c>
      <c r="AD210">
        <f>T208+S212+S217</f>
        <v>103</v>
      </c>
      <c r="AE210">
        <f>S208+T212+T217</f>
        <v>162</v>
      </c>
      <c r="AF210" s="39">
        <f t="shared" ref="AF210:AF212" si="94">IF(AE210=0,"MAX",AD210/AE210)</f>
        <v>0.63580246913580252</v>
      </c>
    </row>
    <row r="211" spans="1:32" ht="20.100000000000001" customHeight="1" x14ac:dyDescent="0.3">
      <c r="A211" s="25">
        <v>3</v>
      </c>
      <c r="B211" s="51" t="str">
        <f>IF('[1]classement poule 1ère phase'!B91="","3EME POULE B",'[1]classement poule 1ère phase'!B91)</f>
        <v>LA LOUVIERE</v>
      </c>
      <c r="F211" s="92" t="s">
        <v>100</v>
      </c>
      <c r="G211" s="48" t="str">
        <f>B211</f>
        <v>LA LOUVIERE</v>
      </c>
      <c r="H211" s="42">
        <v>9</v>
      </c>
      <c r="I211" s="42">
        <v>25</v>
      </c>
      <c r="J211" s="42">
        <v>24</v>
      </c>
      <c r="K211" s="42">
        <v>26</v>
      </c>
      <c r="L211" s="42"/>
      <c r="M211" s="42"/>
      <c r="N211" s="89" t="str">
        <f>B210</f>
        <v>MAIZIERES LES METZ</v>
      </c>
      <c r="O211" s="31"/>
      <c r="P211" s="49">
        <f>IF(H211&gt;I211,1,0)+IF(J211&gt;K211,1,0)+IF(L211&gt;M211,1,0)</f>
        <v>0</v>
      </c>
      <c r="Q211" s="88">
        <f>IF(I211&gt;H211,1,0)+IF(K211&gt;J211,1,0)+IF(M211&gt;L211,1,0)</f>
        <v>2</v>
      </c>
      <c r="R211" s="45"/>
      <c r="S211" s="49">
        <f>H211+J211+L211</f>
        <v>33</v>
      </c>
      <c r="T211" s="91">
        <f>I211+K211+M211</f>
        <v>51</v>
      </c>
      <c r="U211" s="36"/>
      <c r="V211" s="47" t="s">
        <v>92</v>
      </c>
      <c r="Y211" s="51" t="str">
        <f>B211</f>
        <v>LA LOUVIERE</v>
      </c>
      <c r="Z211">
        <f>IF(P211&gt;Q211,2,1)+IF(Q209&gt;P209,2,1)+IF(Q217&gt;P217,2,1)</f>
        <v>4</v>
      </c>
      <c r="AA211">
        <f>P211+Q209+Q217</f>
        <v>2</v>
      </c>
      <c r="AB211">
        <f>Q211+P209+P217</f>
        <v>5</v>
      </c>
      <c r="AC211" s="39">
        <f t="shared" si="93"/>
        <v>0.4</v>
      </c>
      <c r="AD211">
        <f>S211+T209+T217</f>
        <v>120</v>
      </c>
      <c r="AE211">
        <f>T211+S209+S217</f>
        <v>149</v>
      </c>
      <c r="AF211" s="39">
        <f t="shared" si="94"/>
        <v>0.80536912751677847</v>
      </c>
    </row>
    <row r="212" spans="1:32" ht="20.100000000000001" customHeight="1" x14ac:dyDescent="0.3">
      <c r="A212" s="25">
        <v>4</v>
      </c>
      <c r="B212" s="44" t="str">
        <f>IF('[1]classement poule 1ère phase'!B162="","4EME POULE L",'[1]classement poule 1ère phase'!B162)</f>
        <v>CD 71-2</v>
      </c>
      <c r="F212" s="40" t="s">
        <v>102</v>
      </c>
      <c r="G212" s="43" t="str">
        <f>B212</f>
        <v>CD 71-2</v>
      </c>
      <c r="H212" s="42">
        <v>13</v>
      </c>
      <c r="I212" s="42">
        <v>25</v>
      </c>
      <c r="J212" s="42">
        <v>17</v>
      </c>
      <c r="K212" s="42">
        <v>25</v>
      </c>
      <c r="L212" s="42"/>
      <c r="M212" s="42"/>
      <c r="N212" s="89" t="str">
        <f>B210</f>
        <v>MAIZIERES LES METZ</v>
      </c>
      <c r="O212" s="93"/>
      <c r="P212" s="44">
        <f>IF(H212&gt;I212,1,0)+IF(J212&gt;K212,1,0)+IF(L212&gt;M212,1,0)</f>
        <v>0</v>
      </c>
      <c r="Q212" s="88">
        <f>IF(I212&gt;H212,1,0)+IF(K212&gt;J212,1,0)+IF(M212&gt;L212,1,0)</f>
        <v>2</v>
      </c>
      <c r="R212" s="45"/>
      <c r="S212" s="44">
        <f>H212+J212+L212</f>
        <v>30</v>
      </c>
      <c r="T212" s="91">
        <f>I212+K212+M212</f>
        <v>50</v>
      </c>
      <c r="U212" s="36"/>
      <c r="V212" s="47" t="s">
        <v>92</v>
      </c>
      <c r="Y212" s="88" t="str">
        <f>B210</f>
        <v>MAIZIERES LES METZ</v>
      </c>
      <c r="Z212">
        <f>IF(Q211&gt;P211,2,1)+IF(Q212&gt;P212,2,1)+IF(Q215&gt;P215,2,1)</f>
        <v>5</v>
      </c>
      <c r="AA212">
        <f>Q211+Q212+Q215</f>
        <v>4</v>
      </c>
      <c r="AB212">
        <f>P211+P212+P215</f>
        <v>2</v>
      </c>
      <c r="AC212" s="39">
        <f t="shared" si="93"/>
        <v>2</v>
      </c>
      <c r="AD212">
        <f>T211+T212+T215</f>
        <v>134</v>
      </c>
      <c r="AE212">
        <f>S211+S212+S215</f>
        <v>113</v>
      </c>
      <c r="AF212" s="39">
        <f t="shared" si="94"/>
        <v>1.1858407079646018</v>
      </c>
    </row>
    <row r="213" spans="1:32" ht="20.100000000000001" customHeight="1" x14ac:dyDescent="0.3">
      <c r="F213" s="101" t="s">
        <v>128</v>
      </c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36"/>
      <c r="V213" s="47"/>
      <c r="AA213">
        <f>SUM(AA209:AA212)</f>
        <v>13</v>
      </c>
      <c r="AB213">
        <f>SUM(AB209:AB212)</f>
        <v>13</v>
      </c>
      <c r="AD213">
        <f>SUM(AD209:AD212)</f>
        <v>507</v>
      </c>
      <c r="AE213">
        <f>SUM(AE209:AE212)</f>
        <v>507</v>
      </c>
    </row>
    <row r="214" spans="1:32" ht="20.100000000000001" customHeight="1" x14ac:dyDescent="0.3">
      <c r="F214" s="40"/>
      <c r="G214" s="98" t="s">
        <v>58</v>
      </c>
      <c r="H214" s="99"/>
      <c r="I214" s="99"/>
      <c r="J214" s="99"/>
      <c r="K214" s="99"/>
      <c r="L214" s="99"/>
      <c r="M214" s="99"/>
      <c r="N214" s="100"/>
      <c r="O214" s="31"/>
      <c r="P214" s="79"/>
      <c r="Q214" s="79"/>
      <c r="R214" s="45"/>
      <c r="S214" s="79"/>
      <c r="T214" s="80"/>
      <c r="U214" s="81"/>
      <c r="V214" s="82"/>
    </row>
    <row r="215" spans="1:32" ht="20.100000000000001" customHeight="1" x14ac:dyDescent="0.3">
      <c r="F215" s="40" t="s">
        <v>129</v>
      </c>
      <c r="G215" s="41" t="str">
        <f>B209</f>
        <v>NÜZIDERS</v>
      </c>
      <c r="H215" s="42">
        <v>25</v>
      </c>
      <c r="I215" s="42">
        <v>15</v>
      </c>
      <c r="J215" s="42">
        <v>25</v>
      </c>
      <c r="K215" s="42">
        <v>18</v>
      </c>
      <c r="L215" s="42"/>
      <c r="M215" s="42"/>
      <c r="N215" s="89" t="str">
        <f>B210</f>
        <v>MAIZIERES LES METZ</v>
      </c>
      <c r="O215" s="90"/>
      <c r="P215" s="38">
        <f>IF(H215&gt;I215,1,0)+IF(J215&gt;K215,1,0)+IF(L215&gt;M215,1,0)</f>
        <v>2</v>
      </c>
      <c r="Q215" s="88">
        <f>IF(I215&gt;H215,1,0)+IF(K215&gt;J215,1,0)+IF(M215&gt;L215,1,0)</f>
        <v>0</v>
      </c>
      <c r="R215" s="45"/>
      <c r="S215" s="38">
        <f>H215+J215+L215</f>
        <v>50</v>
      </c>
      <c r="T215" s="91">
        <f>I215+K215+M215</f>
        <v>33</v>
      </c>
      <c r="U215" s="36"/>
      <c r="V215" s="47" t="s">
        <v>92</v>
      </c>
    </row>
    <row r="216" spans="1:32" ht="20.100000000000001" customHeight="1" x14ac:dyDescent="0.3">
      <c r="F216" s="40"/>
      <c r="G216" s="98" t="s">
        <v>64</v>
      </c>
      <c r="H216" s="99"/>
      <c r="I216" s="99"/>
      <c r="J216" s="99"/>
      <c r="K216" s="99"/>
      <c r="L216" s="99"/>
      <c r="M216" s="99"/>
      <c r="N216" s="100"/>
      <c r="O216" s="31"/>
      <c r="P216" s="79"/>
      <c r="Q216" s="79"/>
      <c r="R216" s="45"/>
      <c r="S216" s="79"/>
      <c r="T216" s="80"/>
      <c r="U216" s="81"/>
      <c r="V216" s="82"/>
    </row>
    <row r="217" spans="1:32" ht="20.100000000000001" customHeight="1" thickBot="1" x14ac:dyDescent="0.35">
      <c r="F217" s="68" t="s">
        <v>129</v>
      </c>
      <c r="G217" s="94" t="str">
        <f>B212</f>
        <v>CD 71-2</v>
      </c>
      <c r="H217" s="54">
        <v>25</v>
      </c>
      <c r="I217" s="54">
        <v>22</v>
      </c>
      <c r="J217" s="54">
        <v>14</v>
      </c>
      <c r="K217" s="54">
        <v>25</v>
      </c>
      <c r="L217" s="54">
        <v>9</v>
      </c>
      <c r="M217" s="54">
        <v>15</v>
      </c>
      <c r="N217" s="95" t="str">
        <f>B211</f>
        <v>LA LOUVIERE</v>
      </c>
      <c r="O217" s="96"/>
      <c r="P217" s="67">
        <f>IF(H217&gt;I217,1,0)+IF(J217&gt;K217,1,0)+IF(L217&gt;M217,1,0)</f>
        <v>1</v>
      </c>
      <c r="Q217" s="58">
        <f>IF(I217&gt;H217,1,0)+IF(K217&gt;J217,1,0)+IF(M217&gt;L217,1,0)</f>
        <v>2</v>
      </c>
      <c r="R217" s="59"/>
      <c r="S217" s="67">
        <f t="shared" ref="S217:T217" si="95">H217+J217+L217</f>
        <v>48</v>
      </c>
      <c r="T217" s="60">
        <f t="shared" si="95"/>
        <v>62</v>
      </c>
      <c r="U217" s="36"/>
      <c r="V217" s="62" t="s">
        <v>92</v>
      </c>
    </row>
    <row r="218" spans="1:32" ht="9" customHeight="1" thickBot="1" x14ac:dyDescent="0.35">
      <c r="A218" s="70"/>
      <c r="B218" s="70"/>
    </row>
    <row r="219" spans="1:32" ht="39.9" customHeight="1" x14ac:dyDescent="0.3">
      <c r="F219" s="2" t="s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4"/>
    </row>
    <row r="220" spans="1:32" ht="39.9" customHeight="1" x14ac:dyDescent="0.3">
      <c r="F220" s="6" t="s">
        <v>130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8"/>
    </row>
    <row r="221" spans="1:32" ht="30" customHeight="1" thickBot="1" x14ac:dyDescent="0.35">
      <c r="F221" s="9" t="s">
        <v>128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1"/>
    </row>
    <row r="222" spans="1:32" ht="5.0999999999999996" customHeight="1" thickBot="1" x14ac:dyDescent="0.35">
      <c r="A222" s="70"/>
    </row>
    <row r="223" spans="1:32" ht="20.100000000000001" customHeight="1" thickBot="1" x14ac:dyDescent="0.35">
      <c r="A223" s="70"/>
      <c r="G223" s="103" t="s">
        <v>131</v>
      </c>
      <c r="H223" s="104"/>
      <c r="I223" s="104"/>
      <c r="J223" s="104"/>
      <c r="K223" s="104"/>
      <c r="L223" s="104"/>
      <c r="M223" s="104"/>
      <c r="N223" s="105"/>
    </row>
    <row r="224" spans="1:32" ht="20.100000000000001" customHeight="1" x14ac:dyDescent="0.3">
      <c r="A224" s="106"/>
      <c r="B224" s="107" t="s">
        <v>132</v>
      </c>
      <c r="F224" s="108" t="s">
        <v>4</v>
      </c>
      <c r="G224" s="109" t="s">
        <v>40</v>
      </c>
      <c r="H224" s="110"/>
      <c r="I224" s="110"/>
      <c r="J224" s="110"/>
      <c r="K224" s="110"/>
      <c r="L224" s="110"/>
      <c r="M224" s="110"/>
      <c r="N224" s="15"/>
      <c r="O224" s="17"/>
      <c r="P224" s="111" t="s">
        <v>6</v>
      </c>
      <c r="Q224" s="112"/>
      <c r="R224" s="20"/>
      <c r="S224" s="113" t="s">
        <v>7</v>
      </c>
      <c r="T224" s="114"/>
      <c r="U224" s="115"/>
      <c r="V224" s="23" t="s">
        <v>133</v>
      </c>
    </row>
    <row r="225" spans="1:22" ht="20.100000000000001" customHeight="1" thickBot="1" x14ac:dyDescent="0.35">
      <c r="A225" s="106"/>
      <c r="B225" s="116"/>
      <c r="F225" s="117"/>
      <c r="G225" s="28"/>
      <c r="H225" s="29" t="s">
        <v>17</v>
      </c>
      <c r="I225" s="118"/>
      <c r="J225" s="29" t="s">
        <v>18</v>
      </c>
      <c r="K225" s="118"/>
      <c r="L225" s="29" t="s">
        <v>19</v>
      </c>
      <c r="M225" s="118"/>
      <c r="N225" s="28"/>
      <c r="O225" s="31"/>
      <c r="P225" s="119"/>
      <c r="Q225" s="119"/>
      <c r="R225" s="34"/>
      <c r="S225" s="119"/>
      <c r="T225" s="120"/>
      <c r="U225" s="121"/>
      <c r="V225" s="37"/>
    </row>
    <row r="226" spans="1:22" ht="20.100000000000001" customHeight="1" x14ac:dyDescent="0.3">
      <c r="A226" s="71"/>
      <c r="B226" s="122" t="s">
        <v>134</v>
      </c>
      <c r="F226" s="40" t="s">
        <v>135</v>
      </c>
      <c r="G226" s="41" t="str">
        <f>IF('[1]classement poule 2ème phase'!B82="","1ER POULE M",'[1]classement poule 2ème phase'!B82)</f>
        <v>ZANDHOVEN 1</v>
      </c>
      <c r="H226" s="123">
        <v>22</v>
      </c>
      <c r="I226" s="123">
        <v>25</v>
      </c>
      <c r="J226" s="123">
        <v>13</v>
      </c>
      <c r="K226" s="123">
        <v>25</v>
      </c>
      <c r="L226" s="123"/>
      <c r="M226" s="123"/>
      <c r="N226" s="43" t="str">
        <f>IF('[1]classement poule 2ème phase'!B131="","1ER POULE T",'[1]classement poule 2ème phase'!B131)</f>
        <v>CANNES</v>
      </c>
      <c r="O226" s="31"/>
      <c r="P226" s="38">
        <f t="shared" ref="P226:P228" si="96">IF(H226&gt;I226,1,0)+IF(J226&gt;K226,1,0)+IF(L226&gt;M226,1,0)</f>
        <v>0</v>
      </c>
      <c r="Q226" s="44">
        <f>IF(I226&gt;H226,1,0)+IF(K226&gt;J226,1,0)+IF(M226&gt;L226,1,0)</f>
        <v>2</v>
      </c>
      <c r="R226" s="45"/>
      <c r="S226" s="38">
        <f t="shared" ref="S226:T228" si="97">H226+J226+L226</f>
        <v>35</v>
      </c>
      <c r="T226" s="46">
        <f t="shared" si="97"/>
        <v>50</v>
      </c>
      <c r="U226" s="121"/>
      <c r="V226" s="124" t="s">
        <v>136</v>
      </c>
    </row>
    <row r="227" spans="1:22" ht="20.100000000000001" customHeight="1" x14ac:dyDescent="0.3">
      <c r="A227" s="71"/>
      <c r="B227" s="125"/>
      <c r="F227" s="126"/>
      <c r="G227" s="98" t="s">
        <v>46</v>
      </c>
      <c r="H227" s="99"/>
      <c r="I227" s="99"/>
      <c r="J227" s="99"/>
      <c r="K227" s="99"/>
      <c r="L227" s="99"/>
      <c r="M227" s="99"/>
      <c r="N227" s="100"/>
      <c r="O227" s="31"/>
      <c r="P227" s="79"/>
      <c r="Q227" s="79"/>
      <c r="R227" s="45"/>
      <c r="S227" s="79"/>
      <c r="T227" s="127"/>
      <c r="U227" s="128"/>
      <c r="V227" s="129"/>
    </row>
    <row r="228" spans="1:22" ht="20.100000000000001" customHeight="1" thickBot="1" x14ac:dyDescent="0.35">
      <c r="A228" s="71"/>
      <c r="B228" s="130" t="s">
        <v>134</v>
      </c>
      <c r="F228" s="83" t="s">
        <v>135</v>
      </c>
      <c r="G228" s="131" t="str">
        <f>IF('[1]classement poule 2ème phase'!B89="","1ER POULE N",'[1]classement poule 2ème phase'!B89)</f>
        <v>THIMISTER 1</v>
      </c>
      <c r="H228" s="132">
        <v>25</v>
      </c>
      <c r="I228" s="132">
        <v>18</v>
      </c>
      <c r="J228" s="132">
        <v>20</v>
      </c>
      <c r="K228" s="132">
        <v>25</v>
      </c>
      <c r="L228" s="132">
        <v>15</v>
      </c>
      <c r="M228" s="132">
        <v>13</v>
      </c>
      <c r="N228" s="133" t="str">
        <f>IF('[1]classement poule 2ème phase'!B124="","1ER POULE S",'[1]classement poule 2ème phase'!B124)</f>
        <v>DORNBIRN 1</v>
      </c>
      <c r="O228" s="31"/>
      <c r="P228" s="134">
        <f t="shared" si="96"/>
        <v>2</v>
      </c>
      <c r="Q228" s="135">
        <f>IF(I228&gt;H228,1,0)+IF(K228&gt;J228,1,0)+IF(M228&gt;L228,1,0)</f>
        <v>1</v>
      </c>
      <c r="R228" s="90"/>
      <c r="S228" s="134">
        <f t="shared" si="97"/>
        <v>60</v>
      </c>
      <c r="T228" s="135">
        <f t="shared" si="97"/>
        <v>56</v>
      </c>
      <c r="U228" s="136"/>
      <c r="V228" s="137" t="s">
        <v>137</v>
      </c>
    </row>
    <row r="229" spans="1:22" ht="20.100000000000001" customHeight="1" x14ac:dyDescent="0.3">
      <c r="A229" s="70"/>
      <c r="B229" s="138"/>
      <c r="F229" s="40"/>
      <c r="G229" s="98" t="s">
        <v>52</v>
      </c>
      <c r="H229" s="99"/>
      <c r="I229" s="99"/>
      <c r="J229" s="99"/>
      <c r="K229" s="99"/>
      <c r="L229" s="99"/>
      <c r="M229" s="99"/>
      <c r="N229" s="100"/>
      <c r="O229" s="139"/>
      <c r="P229" s="140"/>
      <c r="Q229" s="141"/>
      <c r="R229" s="34"/>
      <c r="S229" s="142"/>
      <c r="T229" s="143"/>
      <c r="U229" s="22"/>
      <c r="V229" s="144"/>
    </row>
    <row r="230" spans="1:22" ht="20.100000000000001" customHeight="1" x14ac:dyDescent="0.3">
      <c r="A230" s="106"/>
      <c r="B230" s="130" t="s">
        <v>134</v>
      </c>
      <c r="F230" s="40" t="s">
        <v>135</v>
      </c>
      <c r="G230" s="41" t="str">
        <f>IF('[1]classement poule 2ème phase'!B96="","1ER POULE O",'[1]classement poule 2ème phase'!B96)</f>
        <v>CD 68-2</v>
      </c>
      <c r="H230" s="123">
        <v>13</v>
      </c>
      <c r="I230" s="123">
        <v>25</v>
      </c>
      <c r="J230" s="123">
        <v>15</v>
      </c>
      <c r="K230" s="123">
        <v>25</v>
      </c>
      <c r="L230" s="123"/>
      <c r="M230" s="123"/>
      <c r="N230" s="43" t="str">
        <f>IF('[1]classement poule 2ème phase'!B117="","1ER POULE R",'[1]classement poule 2ème phase'!B117)</f>
        <v>CD 68-1</v>
      </c>
      <c r="O230" s="31"/>
      <c r="P230" s="38">
        <f t="shared" ref="P230:P232" si="98">IF(H230&gt;I230,1,0)+IF(J230&gt;K230,1,0)+IF(L230&gt;M230,1,0)</f>
        <v>0</v>
      </c>
      <c r="Q230" s="44">
        <f>IF(I230&gt;H230,1,0)+IF(K230&gt;J230,1,0)+IF(M230&gt;L230,1,0)</f>
        <v>2</v>
      </c>
      <c r="R230" s="45"/>
      <c r="S230" s="38">
        <f t="shared" ref="S230:T232" si="99">H230+J230+L230</f>
        <v>28</v>
      </c>
      <c r="T230" s="46">
        <f t="shared" si="99"/>
        <v>50</v>
      </c>
      <c r="U230" s="36"/>
      <c r="V230" s="124" t="s">
        <v>138</v>
      </c>
    </row>
    <row r="231" spans="1:22" ht="20.100000000000001" customHeight="1" x14ac:dyDescent="0.3">
      <c r="A231" s="106"/>
      <c r="B231" s="125"/>
      <c r="F231" s="126"/>
      <c r="G231" s="98" t="s">
        <v>34</v>
      </c>
      <c r="H231" s="99"/>
      <c r="I231" s="99"/>
      <c r="J231" s="99"/>
      <c r="K231" s="99"/>
      <c r="L231" s="99"/>
      <c r="M231" s="99"/>
      <c r="N231" s="100"/>
      <c r="O231" s="31"/>
      <c r="P231" s="79"/>
      <c r="Q231" s="79"/>
      <c r="R231" s="45"/>
      <c r="S231" s="79"/>
      <c r="T231" s="127"/>
      <c r="U231" s="128"/>
      <c r="V231" s="129"/>
    </row>
    <row r="232" spans="1:22" ht="20.100000000000001" customHeight="1" thickBot="1" x14ac:dyDescent="0.35">
      <c r="A232" s="71"/>
      <c r="B232" s="130" t="s">
        <v>134</v>
      </c>
      <c r="F232" s="68" t="s">
        <v>135</v>
      </c>
      <c r="G232" s="55" t="str">
        <f>IF('[1]classement poule 2ème phase'!B103="","1ER POULE P",'[1]classement poule 2ème phase'!B103)</f>
        <v>HÖCHST 1</v>
      </c>
      <c r="H232" s="145">
        <v>25</v>
      </c>
      <c r="I232" s="145">
        <v>21</v>
      </c>
      <c r="J232" s="145">
        <v>23</v>
      </c>
      <c r="K232" s="145">
        <v>25</v>
      </c>
      <c r="L232" s="145">
        <v>15</v>
      </c>
      <c r="M232" s="145">
        <v>10</v>
      </c>
      <c r="N232" s="146" t="str">
        <f>IF('[1]classement poule 2ème phase'!B110="","1ER POULE Q",'[1]classement poule 2ème phase'!B110)</f>
        <v>UNION DU CENTRE 1</v>
      </c>
      <c r="O232" s="56"/>
      <c r="P232" s="58">
        <f t="shared" si="98"/>
        <v>2</v>
      </c>
      <c r="Q232" s="147">
        <f>IF(I232&gt;H232,1,0)+IF(K232&gt;J232,1,0)+IF(M232&gt;L232,1,0)</f>
        <v>1</v>
      </c>
      <c r="R232" s="59"/>
      <c r="S232" s="58">
        <f t="shared" si="99"/>
        <v>63</v>
      </c>
      <c r="T232" s="148">
        <f t="shared" si="99"/>
        <v>56</v>
      </c>
      <c r="U232" s="61"/>
      <c r="V232" s="149" t="s">
        <v>139</v>
      </c>
    </row>
    <row r="233" spans="1:22" ht="20.100000000000001" customHeight="1" thickBot="1" x14ac:dyDescent="0.35">
      <c r="A233" s="71"/>
      <c r="B233" s="125"/>
      <c r="F233" s="150"/>
      <c r="G233" s="151" t="s">
        <v>140</v>
      </c>
      <c r="H233" s="152"/>
      <c r="I233" s="152"/>
      <c r="J233" s="152"/>
      <c r="K233" s="152"/>
      <c r="L233" s="152"/>
      <c r="M233" s="152"/>
      <c r="N233" s="153"/>
      <c r="O233" s="154"/>
      <c r="P233" s="155"/>
      <c r="Q233" s="156"/>
      <c r="R233" s="157"/>
      <c r="S233" s="158"/>
      <c r="T233" s="155"/>
      <c r="U233" s="36"/>
      <c r="V233" s="159"/>
    </row>
    <row r="234" spans="1:22" ht="20.100000000000001" customHeight="1" x14ac:dyDescent="0.3">
      <c r="B234" s="138"/>
      <c r="F234" s="108"/>
      <c r="G234" s="109" t="s">
        <v>40</v>
      </c>
      <c r="H234" s="110"/>
      <c r="I234" s="110"/>
      <c r="J234" s="110"/>
      <c r="K234" s="110"/>
      <c r="L234" s="110"/>
      <c r="M234" s="110"/>
      <c r="N234" s="160"/>
      <c r="O234" s="161"/>
      <c r="P234" s="162"/>
      <c r="Q234" s="163"/>
      <c r="R234" s="20"/>
      <c r="S234" s="164"/>
      <c r="T234" s="165"/>
      <c r="U234" s="166"/>
      <c r="V234" s="167"/>
    </row>
    <row r="235" spans="1:22" ht="20.100000000000001" customHeight="1" x14ac:dyDescent="0.3">
      <c r="B235" s="168" t="s">
        <v>134</v>
      </c>
      <c r="F235" s="40" t="s">
        <v>141</v>
      </c>
      <c r="G235" s="77" t="str">
        <f>IF(P226+Q226=0,"gagnant H1",IF(P226&gt;Q226,G226,N226))</f>
        <v>CANNES</v>
      </c>
      <c r="H235" s="123">
        <v>25</v>
      </c>
      <c r="I235" s="123">
        <v>20</v>
      </c>
      <c r="J235" s="123">
        <v>25</v>
      </c>
      <c r="K235" s="123">
        <v>13</v>
      </c>
      <c r="L235" s="123"/>
      <c r="M235" s="123"/>
      <c r="N235" s="169" t="str">
        <f>IF(P230+Q230=0,"gagnant H2",IF(P230&gt;Q230,G230,N230))</f>
        <v>CD 68-1</v>
      </c>
      <c r="O235" s="170"/>
      <c r="P235" s="49">
        <f>IF(H235&gt;I235,1,0)+IF(J235&gt;K235,1,0)+IF(L235&gt;M235,1,0)</f>
        <v>2</v>
      </c>
      <c r="Q235" s="88">
        <f>IF(I235&gt;H235,1,0)+IF(K235&gt;J235,1,0)+IF(M235&gt;L235,1,0)</f>
        <v>0</v>
      </c>
      <c r="R235" s="45"/>
      <c r="S235" s="49">
        <f>H235+J235+L235</f>
        <v>50</v>
      </c>
      <c r="T235" s="91">
        <f>I235+K235+M235</f>
        <v>33</v>
      </c>
      <c r="U235" s="171"/>
      <c r="V235" s="124" t="s">
        <v>142</v>
      </c>
    </row>
    <row r="236" spans="1:22" ht="20.100000000000001" customHeight="1" x14ac:dyDescent="0.3">
      <c r="B236" s="172"/>
      <c r="F236" s="40"/>
      <c r="G236" s="173" t="s">
        <v>46</v>
      </c>
      <c r="H236" s="174"/>
      <c r="I236" s="174"/>
      <c r="J236" s="174"/>
      <c r="K236" s="174"/>
      <c r="L236" s="174"/>
      <c r="M236" s="174"/>
      <c r="N236" s="174"/>
      <c r="O236" s="31"/>
      <c r="P236" s="79"/>
      <c r="Q236" s="79"/>
      <c r="R236" s="45"/>
      <c r="S236" s="79"/>
      <c r="T236" s="80"/>
      <c r="U236" s="36"/>
      <c r="V236" s="175"/>
    </row>
    <row r="237" spans="1:22" ht="20.100000000000001" customHeight="1" x14ac:dyDescent="0.3">
      <c r="B237" s="168" t="s">
        <v>134</v>
      </c>
      <c r="F237" s="40" t="s">
        <v>141</v>
      </c>
      <c r="G237" s="77" t="str">
        <f>IF(P228+Q228=0,"gagnant H3",IF(P228&gt;Q228,G228,N228))</f>
        <v>THIMISTER 1</v>
      </c>
      <c r="H237" s="123">
        <v>32</v>
      </c>
      <c r="I237" s="123">
        <v>30</v>
      </c>
      <c r="J237" s="123">
        <v>16</v>
      </c>
      <c r="K237" s="123">
        <v>25</v>
      </c>
      <c r="L237" s="123">
        <v>12</v>
      </c>
      <c r="M237" s="123">
        <v>15</v>
      </c>
      <c r="N237" s="169" t="str">
        <f>IF(P232+Q232=0,"gagnant H4",IF(P232&gt;Q232,G232,N232))</f>
        <v>HÖCHST 1</v>
      </c>
      <c r="O237" s="170"/>
      <c r="P237" s="49">
        <f>IF(H237&gt;I237,1,0)+IF(J237&gt;K237,1,0)+IF(L237&gt;M237,1,0)</f>
        <v>1</v>
      </c>
      <c r="Q237" s="88">
        <f>IF(I237&gt;H237,1,0)+IF(K237&gt;J237,1,0)+IF(M237&gt;L237,1,0)</f>
        <v>2</v>
      </c>
      <c r="R237" s="45"/>
      <c r="S237" s="49">
        <f>H237+J237+L237</f>
        <v>60</v>
      </c>
      <c r="T237" s="91">
        <f>I237+K237+M237</f>
        <v>70</v>
      </c>
      <c r="U237" s="171"/>
      <c r="V237" s="124" t="s">
        <v>143</v>
      </c>
    </row>
    <row r="238" spans="1:22" ht="20.100000000000001" customHeight="1" x14ac:dyDescent="0.3">
      <c r="B238" s="172"/>
      <c r="F238" s="40"/>
      <c r="G238" s="98" t="s">
        <v>58</v>
      </c>
      <c r="H238" s="99"/>
      <c r="I238" s="99"/>
      <c r="J238" s="99"/>
      <c r="K238" s="99"/>
      <c r="L238" s="99"/>
      <c r="M238" s="99"/>
      <c r="N238" s="100"/>
      <c r="O238" s="139"/>
      <c r="P238" s="79"/>
      <c r="Q238" s="79"/>
      <c r="R238" s="45"/>
      <c r="S238" s="79"/>
      <c r="T238" s="80"/>
      <c r="U238" s="176"/>
      <c r="V238" s="177"/>
    </row>
    <row r="239" spans="1:22" ht="20.100000000000001" customHeight="1" x14ac:dyDescent="0.3">
      <c r="B239" s="168" t="s">
        <v>134</v>
      </c>
      <c r="F239" s="40" t="s">
        <v>141</v>
      </c>
      <c r="G239" s="41" t="str">
        <f>IF(P226+Q226=0,"perdant H1",IF(P226&lt;Q226,G226,N226))</f>
        <v>ZANDHOVEN 1</v>
      </c>
      <c r="H239" s="123">
        <v>25</v>
      </c>
      <c r="I239" s="123">
        <v>19</v>
      </c>
      <c r="J239" s="123">
        <v>25</v>
      </c>
      <c r="K239" s="123">
        <v>12</v>
      </c>
      <c r="L239" s="123"/>
      <c r="M239" s="123"/>
      <c r="N239" s="178" t="str">
        <f>IF(P230+Q230=0,"perdant H2",IF(P230&lt;Q230,G230,N230))</f>
        <v>CD 68-2</v>
      </c>
      <c r="O239" s="154"/>
      <c r="P239" s="38">
        <f>IF(H239&gt;I239,1,0)+IF(J239&gt;K239,1,0)+IF(L239&gt;M239,1,0)</f>
        <v>2</v>
      </c>
      <c r="Q239" s="44">
        <f>IF(I239&gt;H239,1,0)+IF(K239&gt;J239,1,0)+IF(M239&gt;L239,1,0)</f>
        <v>0</v>
      </c>
      <c r="R239" s="45"/>
      <c r="S239" s="38">
        <f>H239+J239+L239</f>
        <v>50</v>
      </c>
      <c r="T239" s="46">
        <f>I239+K239+M239</f>
        <v>31</v>
      </c>
      <c r="U239" s="36"/>
      <c r="V239" s="124" t="s">
        <v>144</v>
      </c>
    </row>
    <row r="240" spans="1:22" ht="20.100000000000001" customHeight="1" x14ac:dyDescent="0.3">
      <c r="B240" s="172"/>
      <c r="F240" s="40"/>
      <c r="G240" s="100" t="s">
        <v>34</v>
      </c>
      <c r="H240" s="78"/>
      <c r="I240" s="78"/>
      <c r="J240" s="78"/>
      <c r="K240" s="78"/>
      <c r="L240" s="78"/>
      <c r="M240" s="78"/>
      <c r="N240" s="78"/>
      <c r="O240" s="139"/>
      <c r="P240" s="79"/>
      <c r="Q240" s="79"/>
      <c r="R240" s="45"/>
      <c r="S240" s="79"/>
      <c r="T240" s="80"/>
      <c r="U240" s="176"/>
      <c r="V240" s="177"/>
    </row>
    <row r="241" spans="1:22" ht="20.100000000000001" customHeight="1" x14ac:dyDescent="0.3">
      <c r="B241" s="168" t="s">
        <v>134</v>
      </c>
      <c r="F241" s="40" t="s">
        <v>141</v>
      </c>
      <c r="G241" s="41" t="str">
        <f>IF(P228+Q228=0,"perdant H3",IF(P228&lt;Q228,G228,N228))</f>
        <v>DORNBIRN 1</v>
      </c>
      <c r="H241" s="123">
        <v>25</v>
      </c>
      <c r="I241" s="123">
        <v>19</v>
      </c>
      <c r="J241" s="123">
        <v>16</v>
      </c>
      <c r="K241" s="123">
        <v>25</v>
      </c>
      <c r="L241" s="123">
        <v>9</v>
      </c>
      <c r="M241" s="123">
        <v>15</v>
      </c>
      <c r="N241" s="178" t="str">
        <f>IF(P232+Q232=0,"perdant H4",IF(P232&lt;Q232,G232,N232))</f>
        <v>UNION DU CENTRE 1</v>
      </c>
      <c r="O241" s="154"/>
      <c r="P241" s="38">
        <f>IF(H241&gt;I241,1,0)+IF(J241&gt;K241,1,0)+IF(L241&gt;M241,1,0)</f>
        <v>1</v>
      </c>
      <c r="Q241" s="44">
        <f>IF(I241&gt;H241,1,0)+IF(K241&gt;J241,1,0)+IF(M241&gt;L241,1,0)</f>
        <v>2</v>
      </c>
      <c r="R241" s="45"/>
      <c r="S241" s="38">
        <f>H241+J241+L241</f>
        <v>50</v>
      </c>
      <c r="T241" s="46">
        <f>I241+K241+M241</f>
        <v>59</v>
      </c>
      <c r="U241" s="36"/>
      <c r="V241" s="124" t="s">
        <v>145</v>
      </c>
    </row>
    <row r="242" spans="1:22" ht="20.100000000000001" customHeight="1" thickBot="1" x14ac:dyDescent="0.35">
      <c r="B242" s="172"/>
      <c r="F242" s="101" t="s">
        <v>146</v>
      </c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36"/>
      <c r="V242" s="179"/>
    </row>
    <row r="243" spans="1:22" ht="20.100000000000001" customHeight="1" thickBot="1" x14ac:dyDescent="0.35">
      <c r="B243" s="172"/>
      <c r="F243" s="180"/>
      <c r="G243" s="151" t="s">
        <v>147</v>
      </c>
      <c r="H243" s="152"/>
      <c r="I243" s="152"/>
      <c r="J243" s="152"/>
      <c r="K243" s="152"/>
      <c r="L243" s="152"/>
      <c r="M243" s="152"/>
      <c r="N243" s="153"/>
      <c r="O243" s="154"/>
      <c r="P243" s="181"/>
      <c r="Q243" s="181"/>
      <c r="R243" s="45"/>
      <c r="S243" s="181"/>
      <c r="T243" s="182"/>
      <c r="U243" s="36"/>
      <c r="V243" s="179"/>
    </row>
    <row r="244" spans="1:22" ht="20.100000000000001" customHeight="1" x14ac:dyDescent="0.3">
      <c r="B244" s="172"/>
      <c r="F244" s="40"/>
      <c r="G244" s="98" t="s">
        <v>80</v>
      </c>
      <c r="H244" s="99"/>
      <c r="I244" s="99"/>
      <c r="J244" s="99"/>
      <c r="K244" s="99"/>
      <c r="L244" s="99"/>
      <c r="M244" s="99"/>
      <c r="N244" s="100"/>
      <c r="O244" s="139"/>
      <c r="P244" s="79"/>
      <c r="Q244" s="79"/>
      <c r="R244" s="45"/>
      <c r="S244" s="79"/>
      <c r="T244" s="80"/>
      <c r="U244" s="176"/>
      <c r="V244" s="177"/>
    </row>
    <row r="245" spans="1:22" ht="20.100000000000001" customHeight="1" x14ac:dyDescent="0.3">
      <c r="B245" s="168" t="s">
        <v>134</v>
      </c>
      <c r="F245" s="40" t="s">
        <v>148</v>
      </c>
      <c r="G245" s="183" t="str">
        <f>IF(P239+Q239=0,"gagnant H5",IF(P239&gt;Q239,G239,N239))</f>
        <v>ZANDHOVEN 1</v>
      </c>
      <c r="H245" s="184"/>
      <c r="I245" s="184"/>
      <c r="J245" s="184"/>
      <c r="K245" s="184"/>
      <c r="L245" s="184"/>
      <c r="M245" s="184"/>
      <c r="N245" s="185" t="str">
        <f>IF(P241+Q241=0,"gagnant H6",IF(P241&gt;Q241,G241,N241))</f>
        <v>UNION DU CENTRE 1</v>
      </c>
      <c r="O245" s="154"/>
      <c r="P245" s="38">
        <f>IF(H245&gt;I245,1,0)+IF(J245&gt;K245,1,0)+IF(L245&gt;M245,1,0)</f>
        <v>0</v>
      </c>
      <c r="Q245" s="44">
        <f>IF(I245&gt;H245,1,0)+IF(K245&gt;J245,1,0)+IF(M245&gt;L245,1,0)</f>
        <v>0</v>
      </c>
      <c r="R245" s="45"/>
      <c r="S245" s="38">
        <f>H245+J245+L245</f>
        <v>0</v>
      </c>
      <c r="T245" s="46">
        <f>I245+K245+M245</f>
        <v>0</v>
      </c>
      <c r="U245" s="36"/>
      <c r="V245" s="124" t="s">
        <v>149</v>
      </c>
    </row>
    <row r="246" spans="1:22" ht="20.100000000000001" customHeight="1" x14ac:dyDescent="0.3">
      <c r="B246" s="172"/>
      <c r="F246" s="40"/>
      <c r="G246" s="98" t="s">
        <v>87</v>
      </c>
      <c r="H246" s="99"/>
      <c r="I246" s="99"/>
      <c r="J246" s="99"/>
      <c r="K246" s="99"/>
      <c r="L246" s="99"/>
      <c r="M246" s="99"/>
      <c r="N246" s="100"/>
      <c r="O246" s="139"/>
      <c r="P246" s="79"/>
      <c r="Q246" s="79"/>
      <c r="R246" s="45"/>
      <c r="S246" s="79"/>
      <c r="T246" s="80"/>
      <c r="U246" s="176"/>
      <c r="V246" s="177"/>
    </row>
    <row r="247" spans="1:22" ht="20.100000000000001" customHeight="1" thickBot="1" x14ac:dyDescent="0.35">
      <c r="B247" s="168" t="s">
        <v>134</v>
      </c>
      <c r="F247" s="68" t="s">
        <v>148</v>
      </c>
      <c r="G247" s="55" t="str">
        <f>IF(P239+Q239=0,"perdant H5",IF(P239&lt;Q239,G239,N239))</f>
        <v>CD 68-2</v>
      </c>
      <c r="H247" s="145"/>
      <c r="I247" s="145"/>
      <c r="J247" s="145"/>
      <c r="K247" s="145"/>
      <c r="L247" s="145"/>
      <c r="M247" s="145"/>
      <c r="N247" s="186" t="str">
        <f>IF(P241+Q241=0,"perdant H6",IF(P241&lt;Q241,G241,N241))</f>
        <v>DORNBIRN 1</v>
      </c>
      <c r="O247" s="187"/>
      <c r="P247" s="58">
        <f t="shared" ref="P247" si="100">IF(H247&gt;I247,1,0)+IF(J247&gt;K247,1,0)+IF(L247&gt;M247,1,0)</f>
        <v>0</v>
      </c>
      <c r="Q247" s="147">
        <f>IF(I247&gt;H247,1,0)+IF(K247&gt;J247,1,0)+IF(M247&gt;L247,1,0)</f>
        <v>0</v>
      </c>
      <c r="R247" s="59"/>
      <c r="S247" s="58">
        <f t="shared" ref="S247:T247" si="101">H247+J247+L247</f>
        <v>0</v>
      </c>
      <c r="T247" s="148">
        <f t="shared" si="101"/>
        <v>0</v>
      </c>
      <c r="U247" s="61"/>
      <c r="V247" s="149" t="s">
        <v>150</v>
      </c>
    </row>
    <row r="248" spans="1:22" ht="20.100000000000001" customHeight="1" x14ac:dyDescent="0.3">
      <c r="B248" s="172"/>
      <c r="F248" s="40"/>
      <c r="G248" s="100" t="s">
        <v>52</v>
      </c>
      <c r="H248" s="78"/>
      <c r="I248" s="78"/>
      <c r="J248" s="78"/>
      <c r="K248" s="78"/>
      <c r="L248" s="78"/>
      <c r="M248" s="78"/>
      <c r="N248" s="78"/>
      <c r="O248" s="139"/>
      <c r="P248" s="79"/>
      <c r="Q248" s="79"/>
      <c r="R248" s="45"/>
      <c r="S248" s="79"/>
      <c r="T248" s="80"/>
      <c r="U248" s="176"/>
      <c r="V248" s="177"/>
    </row>
    <row r="249" spans="1:22" ht="20.100000000000001" customHeight="1" x14ac:dyDescent="0.3">
      <c r="B249" s="168" t="s">
        <v>134</v>
      </c>
      <c r="F249" s="83" t="s">
        <v>148</v>
      </c>
      <c r="G249" s="41" t="str">
        <f>IF(P235+Q235=0,"perdant H7",IF(P235&lt;Q235,G235,N235))</f>
        <v>CD 68-1</v>
      </c>
      <c r="H249" s="123"/>
      <c r="I249" s="123"/>
      <c r="J249" s="123"/>
      <c r="K249" s="123"/>
      <c r="L249" s="123"/>
      <c r="M249" s="123"/>
      <c r="N249" s="178" t="str">
        <f>IF(P237+Q237=0,"perdant H8",IF(P237&lt;Q237,G237,N237))</f>
        <v>THIMISTER 1</v>
      </c>
      <c r="O249" s="154"/>
      <c r="P249" s="38">
        <f>IF(H249&gt;I249,1,0)+IF(J249&gt;K249,1,0)+IF(L249&gt;M249,1,0)</f>
        <v>0</v>
      </c>
      <c r="Q249" s="44">
        <f>IF(I249&gt;H249,1,0)+IF(K249&gt;J249,1,0)+IF(M249&gt;L249,1,0)</f>
        <v>0</v>
      </c>
      <c r="R249" s="45"/>
      <c r="S249" s="38">
        <f t="shared" ref="S249:T249" si="102">H249+J249+L249</f>
        <v>0</v>
      </c>
      <c r="T249" s="46">
        <f t="shared" si="102"/>
        <v>0</v>
      </c>
      <c r="U249" s="36"/>
      <c r="V249" s="137" t="s">
        <v>151</v>
      </c>
    </row>
    <row r="250" spans="1:22" ht="20.100000000000001" customHeight="1" thickBot="1" x14ac:dyDescent="0.35">
      <c r="B250" s="188" t="s">
        <v>134</v>
      </c>
      <c r="F250" s="68" t="s">
        <v>152</v>
      </c>
      <c r="G250" s="55" t="str">
        <f>IF(P235+Q235=0,"gagnant H7",IF(P235&gt;Q235,G235,N235))</f>
        <v>CANNES</v>
      </c>
      <c r="H250" s="145"/>
      <c r="I250" s="145"/>
      <c r="J250" s="145"/>
      <c r="K250" s="145"/>
      <c r="L250" s="145"/>
      <c r="M250" s="145"/>
      <c r="N250" s="186" t="str">
        <f>IF(P237+Q237=0,"gagnant H8",IF(P237&gt;Q237,G237,N237))</f>
        <v>HÖCHST 1</v>
      </c>
      <c r="O250" s="187"/>
      <c r="P250" s="189">
        <f>IF(H250&gt;I250,1,0)+IF(J250&gt;K250,1,0)+IF(L250&gt;M250,1,0)</f>
        <v>0</v>
      </c>
      <c r="Q250" s="190">
        <f>IF(I250&gt;H250,1,0)+IF(K250&gt;J250,1,0)+IF(M250&gt;L250,1,0)</f>
        <v>0</v>
      </c>
      <c r="R250" s="191"/>
      <c r="S250" s="192">
        <f>H250+J250+L250</f>
        <v>0</v>
      </c>
      <c r="T250" s="193">
        <f>I250+K250+M250</f>
        <v>0</v>
      </c>
      <c r="U250" s="191" t="e">
        <f t="shared" ref="U250" si="103">J250+L250+N250</f>
        <v>#VALUE!</v>
      </c>
      <c r="V250" s="149" t="s">
        <v>153</v>
      </c>
    </row>
    <row r="251" spans="1:22" ht="5.0999999999999996" customHeight="1" thickBot="1" x14ac:dyDescent="0.35">
      <c r="A251" s="70"/>
      <c r="B251" s="70" t="s">
        <v>134</v>
      </c>
    </row>
    <row r="252" spans="1:22" ht="39.9" customHeight="1" x14ac:dyDescent="0.3">
      <c r="F252" s="2" t="s"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4"/>
    </row>
    <row r="253" spans="1:22" ht="39.9" customHeight="1" x14ac:dyDescent="0.3">
      <c r="F253" s="6" t="s">
        <v>154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8"/>
    </row>
    <row r="254" spans="1:22" ht="30" customHeight="1" thickBot="1" x14ac:dyDescent="0.35">
      <c r="F254" s="9" t="s">
        <v>128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1"/>
    </row>
    <row r="255" spans="1:22" ht="5.0999999999999996" customHeight="1" thickBot="1" x14ac:dyDescent="0.35">
      <c r="A255" s="70"/>
    </row>
    <row r="256" spans="1:22" ht="20.100000000000001" customHeight="1" thickBot="1" x14ac:dyDescent="0.35">
      <c r="A256" s="70"/>
      <c r="G256" s="103" t="s">
        <v>131</v>
      </c>
      <c r="H256" s="104"/>
      <c r="I256" s="104"/>
      <c r="J256" s="104"/>
      <c r="K256" s="104"/>
      <c r="L256" s="104"/>
      <c r="M256" s="104"/>
      <c r="N256" s="105"/>
    </row>
    <row r="257" spans="1:22" ht="20.100000000000001" customHeight="1" x14ac:dyDescent="0.3">
      <c r="A257" s="106"/>
      <c r="B257" s="107" t="s">
        <v>132</v>
      </c>
      <c r="F257" s="108" t="s">
        <v>4</v>
      </c>
      <c r="G257" s="109" t="s">
        <v>40</v>
      </c>
      <c r="H257" s="110"/>
      <c r="I257" s="110"/>
      <c r="J257" s="110"/>
      <c r="K257" s="110"/>
      <c r="L257" s="110"/>
      <c r="M257" s="110"/>
      <c r="N257" s="15"/>
      <c r="O257" s="17"/>
      <c r="P257" s="111" t="s">
        <v>6</v>
      </c>
      <c r="Q257" s="112"/>
      <c r="R257" s="20"/>
      <c r="S257" s="113" t="s">
        <v>7</v>
      </c>
      <c r="T257" s="114"/>
      <c r="U257" s="115"/>
      <c r="V257" s="23" t="s">
        <v>133</v>
      </c>
    </row>
    <row r="258" spans="1:22" ht="20.100000000000001" customHeight="1" thickBot="1" x14ac:dyDescent="0.35">
      <c r="A258" s="106"/>
      <c r="B258" s="116"/>
      <c r="F258" s="117"/>
      <c r="G258" s="28"/>
      <c r="H258" s="29" t="s">
        <v>17</v>
      </c>
      <c r="I258" s="118"/>
      <c r="J258" s="29" t="s">
        <v>18</v>
      </c>
      <c r="K258" s="118"/>
      <c r="L258" s="29" t="s">
        <v>19</v>
      </c>
      <c r="M258" s="118"/>
      <c r="N258" s="28"/>
      <c r="O258" s="31"/>
      <c r="P258" s="119"/>
      <c r="Q258" s="119"/>
      <c r="R258" s="34"/>
      <c r="S258" s="119"/>
      <c r="T258" s="120"/>
      <c r="U258" s="121"/>
      <c r="V258" s="37"/>
    </row>
    <row r="259" spans="1:22" ht="20.100000000000001" customHeight="1" x14ac:dyDescent="0.3">
      <c r="A259" s="71"/>
      <c r="B259" s="122" t="s">
        <v>134</v>
      </c>
      <c r="F259" s="40" t="s">
        <v>129</v>
      </c>
      <c r="G259" s="41" t="str">
        <f>IF('[1]classement poule 2ème phase'!B83="","2EME POULE M",'[1]classement poule 2ème phase'!B83)</f>
        <v>ZANHOVEN 2</v>
      </c>
      <c r="H259" s="123">
        <v>19</v>
      </c>
      <c r="I259" s="123">
        <v>25</v>
      </c>
      <c r="J259" s="123">
        <v>23</v>
      </c>
      <c r="K259" s="123">
        <v>25</v>
      </c>
      <c r="L259" s="123"/>
      <c r="M259" s="123"/>
      <c r="N259" s="43" t="str">
        <f>IF('[1]classement poule 2ème phase'!B132="","2EME POULE T",'[1]classement poule 2ème phase'!B132)</f>
        <v>HARNES</v>
      </c>
      <c r="O259" s="31"/>
      <c r="P259" s="38">
        <f t="shared" ref="P259" si="104">IF(H259&gt;I259,1,0)+IF(J259&gt;K259,1,0)+IF(L259&gt;M259,1,0)</f>
        <v>0</v>
      </c>
      <c r="Q259" s="44">
        <f>IF(I259&gt;H259,1,0)+IF(K259&gt;J259,1,0)+IF(M259&gt;L259,1,0)</f>
        <v>2</v>
      </c>
      <c r="R259" s="45"/>
      <c r="S259" s="38">
        <f t="shared" ref="S259:T259" si="105">H259+J259+L259</f>
        <v>42</v>
      </c>
      <c r="T259" s="46">
        <f t="shared" si="105"/>
        <v>50</v>
      </c>
      <c r="U259" s="121"/>
      <c r="V259" s="124" t="s">
        <v>155</v>
      </c>
    </row>
    <row r="260" spans="1:22" ht="20.100000000000001" customHeight="1" x14ac:dyDescent="0.3">
      <c r="A260" s="71"/>
      <c r="B260" s="125"/>
      <c r="F260" s="126"/>
      <c r="G260" s="98" t="s">
        <v>46</v>
      </c>
      <c r="H260" s="99"/>
      <c r="I260" s="99"/>
      <c r="J260" s="99"/>
      <c r="K260" s="99"/>
      <c r="L260" s="99"/>
      <c r="M260" s="99"/>
      <c r="N260" s="100"/>
      <c r="O260" s="31"/>
      <c r="P260" s="79"/>
      <c r="Q260" s="79"/>
      <c r="R260" s="45"/>
      <c r="S260" s="79"/>
      <c r="T260" s="127"/>
      <c r="U260" s="128"/>
      <c r="V260" s="129"/>
    </row>
    <row r="261" spans="1:22" ht="20.100000000000001" customHeight="1" thickBot="1" x14ac:dyDescent="0.35">
      <c r="A261" s="71"/>
      <c r="B261" s="130" t="s">
        <v>134</v>
      </c>
      <c r="F261" s="83" t="s">
        <v>129</v>
      </c>
      <c r="G261" s="131" t="str">
        <f>IF('[1]classement poule 2ème phase'!B90="","2EME POULE N",'[1]classement poule 2ème phase'!B90)</f>
        <v>LE TOUQUET</v>
      </c>
      <c r="H261" s="132">
        <v>25</v>
      </c>
      <c r="I261" s="132">
        <v>21</v>
      </c>
      <c r="J261" s="132">
        <v>25</v>
      </c>
      <c r="K261" s="132">
        <v>14</v>
      </c>
      <c r="L261" s="132"/>
      <c r="M261" s="132"/>
      <c r="N261" s="133" t="str">
        <f>IF('[1]classement poule 2ème phase'!B125="","2EME POULE S",'[1]classement poule 2ème phase'!B125)</f>
        <v>YUTZ 1</v>
      </c>
      <c r="O261" s="31"/>
      <c r="P261" s="134">
        <f t="shared" ref="P261" si="106">IF(H261&gt;I261,1,0)+IF(J261&gt;K261,1,0)+IF(L261&gt;M261,1,0)</f>
        <v>2</v>
      </c>
      <c r="Q261" s="135">
        <f>IF(I261&gt;H261,1,0)+IF(K261&gt;J261,1,0)+IF(M261&gt;L261,1,0)</f>
        <v>0</v>
      </c>
      <c r="R261" s="90"/>
      <c r="S261" s="134">
        <f t="shared" ref="S261:T261" si="107">H261+J261+L261</f>
        <v>50</v>
      </c>
      <c r="T261" s="135">
        <f t="shared" si="107"/>
        <v>35</v>
      </c>
      <c r="U261" s="136"/>
      <c r="V261" s="137" t="s">
        <v>156</v>
      </c>
    </row>
    <row r="262" spans="1:22" ht="20.100000000000001" customHeight="1" x14ac:dyDescent="0.3">
      <c r="A262" s="70"/>
      <c r="B262" s="138"/>
      <c r="F262" s="40"/>
      <c r="G262" s="98" t="s">
        <v>52</v>
      </c>
      <c r="H262" s="99"/>
      <c r="I262" s="99"/>
      <c r="J262" s="99"/>
      <c r="K262" s="99"/>
      <c r="L262" s="99"/>
      <c r="M262" s="99"/>
      <c r="N262" s="100"/>
      <c r="O262" s="139"/>
      <c r="P262" s="140"/>
      <c r="Q262" s="141"/>
      <c r="R262" s="34"/>
      <c r="S262" s="142"/>
      <c r="T262" s="143"/>
      <c r="U262" s="22"/>
      <c r="V262" s="144"/>
    </row>
    <row r="263" spans="1:22" ht="20.100000000000001" customHeight="1" x14ac:dyDescent="0.3">
      <c r="A263" s="106"/>
      <c r="B263" s="130" t="s">
        <v>134</v>
      </c>
      <c r="F263" s="40" t="s">
        <v>129</v>
      </c>
      <c r="G263" s="41" t="str">
        <f>IF('[1]classement poule 2ème phase'!B97="","2EME POULE O",'[1]classement poule 2ème phase'!B97)</f>
        <v>ENSISHEIM</v>
      </c>
      <c r="H263" s="123">
        <v>12</v>
      </c>
      <c r="I263" s="123">
        <v>25</v>
      </c>
      <c r="J263" s="123">
        <v>10</v>
      </c>
      <c r="K263" s="123">
        <v>25</v>
      </c>
      <c r="L263" s="123"/>
      <c r="M263" s="123"/>
      <c r="N263" s="43" t="str">
        <f>IF('[1]classement poule 2ème phase'!B118="","2EME POULE R",'[1]classement poule 2ème phase'!B118)</f>
        <v>VILLEJUIF</v>
      </c>
      <c r="O263" s="31"/>
      <c r="P263" s="38">
        <f t="shared" ref="P263" si="108">IF(H263&gt;I263,1,0)+IF(J263&gt;K263,1,0)+IF(L263&gt;M263,1,0)</f>
        <v>0</v>
      </c>
      <c r="Q263" s="44">
        <f>IF(I263&gt;H263,1,0)+IF(K263&gt;J263,1,0)+IF(M263&gt;L263,1,0)</f>
        <v>2</v>
      </c>
      <c r="R263" s="45"/>
      <c r="S263" s="38">
        <f t="shared" ref="S263:T263" si="109">H263+J263+L263</f>
        <v>22</v>
      </c>
      <c r="T263" s="46">
        <f t="shared" si="109"/>
        <v>50</v>
      </c>
      <c r="U263" s="36"/>
      <c r="V263" s="124" t="s">
        <v>157</v>
      </c>
    </row>
    <row r="264" spans="1:22" ht="20.100000000000001" customHeight="1" x14ac:dyDescent="0.3">
      <c r="A264" s="106"/>
      <c r="B264" s="125"/>
      <c r="F264" s="126"/>
      <c r="G264" s="98" t="s">
        <v>34</v>
      </c>
      <c r="H264" s="99"/>
      <c r="I264" s="99"/>
      <c r="J264" s="99"/>
      <c r="K264" s="99"/>
      <c r="L264" s="99"/>
      <c r="M264" s="99"/>
      <c r="N264" s="100"/>
      <c r="O264" s="31"/>
      <c r="P264" s="79"/>
      <c r="Q264" s="79"/>
      <c r="R264" s="45"/>
      <c r="S264" s="79"/>
      <c r="T264" s="127"/>
      <c r="U264" s="128"/>
      <c r="V264" s="129"/>
    </row>
    <row r="265" spans="1:22" ht="20.100000000000001" customHeight="1" thickBot="1" x14ac:dyDescent="0.35">
      <c r="A265" s="71"/>
      <c r="B265" s="130" t="s">
        <v>134</v>
      </c>
      <c r="F265" s="68" t="s">
        <v>129</v>
      </c>
      <c r="G265" s="55" t="str">
        <f>IF('[1]classement poule 2ème phase'!B104="","2EME POULE P",'[1]classement poule 2ème phase'!B104)</f>
        <v>AUBAGNE</v>
      </c>
      <c r="H265" s="145">
        <v>11</v>
      </c>
      <c r="I265" s="145">
        <v>25</v>
      </c>
      <c r="J265" s="145">
        <v>11</v>
      </c>
      <c r="K265" s="145">
        <v>25</v>
      </c>
      <c r="L265" s="145"/>
      <c r="M265" s="145"/>
      <c r="N265" s="146" t="str">
        <f>IF('[1]classement poule 2ème phase'!B111="","2EME POULE Q",'[1]classement poule 2ème phase'!B111)</f>
        <v>AACHEN</v>
      </c>
      <c r="O265" s="56"/>
      <c r="P265" s="58">
        <f t="shared" ref="P265" si="110">IF(H265&gt;I265,1,0)+IF(J265&gt;K265,1,0)+IF(L265&gt;M265,1,0)</f>
        <v>0</v>
      </c>
      <c r="Q265" s="147">
        <f>IF(I265&gt;H265,1,0)+IF(K265&gt;J265,1,0)+IF(M265&gt;L265,1,0)</f>
        <v>2</v>
      </c>
      <c r="R265" s="59"/>
      <c r="S265" s="58">
        <f t="shared" ref="S265:T265" si="111">H265+J265+L265</f>
        <v>22</v>
      </c>
      <c r="T265" s="148">
        <f t="shared" si="111"/>
        <v>50</v>
      </c>
      <c r="U265" s="61"/>
      <c r="V265" s="149" t="s">
        <v>158</v>
      </c>
    </row>
    <row r="266" spans="1:22" ht="20.100000000000001" customHeight="1" thickBot="1" x14ac:dyDescent="0.35">
      <c r="A266" s="71"/>
      <c r="B266" s="125"/>
      <c r="F266" s="150"/>
      <c r="G266" s="151" t="s">
        <v>140</v>
      </c>
      <c r="H266" s="152"/>
      <c r="I266" s="152"/>
      <c r="J266" s="152"/>
      <c r="K266" s="152"/>
      <c r="L266" s="152"/>
      <c r="M266" s="152"/>
      <c r="N266" s="153"/>
      <c r="O266" s="154"/>
      <c r="P266" s="155"/>
      <c r="Q266" s="156"/>
      <c r="R266" s="158"/>
      <c r="S266" s="158"/>
      <c r="T266" s="155"/>
      <c r="U266" s="36"/>
      <c r="V266" s="159"/>
    </row>
    <row r="267" spans="1:22" ht="20.100000000000001" customHeight="1" x14ac:dyDescent="0.3">
      <c r="B267" s="138"/>
      <c r="F267" s="108"/>
      <c r="G267" s="109" t="s">
        <v>40</v>
      </c>
      <c r="H267" s="110"/>
      <c r="I267" s="110"/>
      <c r="J267" s="110"/>
      <c r="K267" s="110"/>
      <c r="L267" s="110"/>
      <c r="M267" s="110"/>
      <c r="N267" s="160"/>
      <c r="O267" s="161"/>
      <c r="P267" s="162"/>
      <c r="Q267" s="163"/>
      <c r="R267" s="20"/>
      <c r="S267" s="164"/>
      <c r="T267" s="165"/>
      <c r="U267" s="166"/>
      <c r="V267" s="167"/>
    </row>
    <row r="268" spans="1:22" ht="20.100000000000001" customHeight="1" x14ac:dyDescent="0.3">
      <c r="B268" s="130" t="str">
        <f>G235</f>
        <v>CANNES</v>
      </c>
      <c r="F268" s="40" t="s">
        <v>159</v>
      </c>
      <c r="G268" s="77" t="str">
        <f>IF(P259+Q259=0,"gagnant H11",IF(P259&gt;Q259,G259,N259))</f>
        <v>HARNES</v>
      </c>
      <c r="H268" s="123">
        <v>23</v>
      </c>
      <c r="I268" s="123">
        <v>25</v>
      </c>
      <c r="J268" s="123">
        <v>25</v>
      </c>
      <c r="K268" s="123">
        <v>22</v>
      </c>
      <c r="L268" s="123">
        <v>13</v>
      </c>
      <c r="M268" s="123">
        <v>15</v>
      </c>
      <c r="N268" s="169" t="str">
        <f>IF(P263+Q263=0,"gagnant H12",IF(P263&gt;Q263,G263,N263))</f>
        <v>VILLEJUIF</v>
      </c>
      <c r="O268" s="170"/>
      <c r="P268" s="49">
        <f>IF(H268&gt;I268,1,0)+IF(J268&gt;K268,1,0)+IF(L268&gt;M268,1,0)</f>
        <v>1</v>
      </c>
      <c r="Q268" s="88">
        <f>IF(I268&gt;H268,1,0)+IF(K268&gt;J268,1,0)+IF(M268&gt;L268,1,0)</f>
        <v>2</v>
      </c>
      <c r="R268" s="45"/>
      <c r="S268" s="49">
        <f>H268+J268+L268</f>
        <v>61</v>
      </c>
      <c r="T268" s="91">
        <f>I268+K268+M268</f>
        <v>62</v>
      </c>
      <c r="U268" s="171"/>
      <c r="V268" s="124" t="s">
        <v>160</v>
      </c>
    </row>
    <row r="269" spans="1:22" ht="20.100000000000001" customHeight="1" x14ac:dyDescent="0.3">
      <c r="B269" s="172"/>
      <c r="F269" s="40"/>
      <c r="G269" s="173" t="s">
        <v>34</v>
      </c>
      <c r="H269" s="174"/>
      <c r="I269" s="174"/>
      <c r="J269" s="174"/>
      <c r="K269" s="174"/>
      <c r="L269" s="174"/>
      <c r="M269" s="174"/>
      <c r="N269" s="174"/>
      <c r="O269" s="31"/>
      <c r="P269" s="79"/>
      <c r="Q269" s="79"/>
      <c r="R269" s="45"/>
      <c r="S269" s="79"/>
      <c r="T269" s="80"/>
      <c r="U269" s="36"/>
      <c r="V269" s="175"/>
    </row>
    <row r="270" spans="1:22" ht="20.100000000000001" customHeight="1" x14ac:dyDescent="0.3">
      <c r="B270" s="130" t="str">
        <f>N241</f>
        <v>UNION DU CENTRE 1</v>
      </c>
      <c r="F270" s="40" t="s">
        <v>159</v>
      </c>
      <c r="G270" s="77" t="str">
        <f>IF(P261+Q261=0,"gagnant H13",IF(P261&gt;Q261,G261,N261))</f>
        <v>LE TOUQUET</v>
      </c>
      <c r="H270" s="123">
        <v>17</v>
      </c>
      <c r="I270" s="123">
        <v>25</v>
      </c>
      <c r="J270" s="123">
        <v>11</v>
      </c>
      <c r="K270" s="123">
        <v>25</v>
      </c>
      <c r="L270" s="123"/>
      <c r="M270" s="123"/>
      <c r="N270" s="169" t="str">
        <f>IF(P265+Q265=0,"gagnant H14",IF(P265&gt;Q265,G265,N265))</f>
        <v>AACHEN</v>
      </c>
      <c r="O270" s="170"/>
      <c r="P270" s="49">
        <f>IF(H270&gt;I270,1,0)+IF(J270&gt;K270,1,0)+IF(L270&gt;M270,1,0)</f>
        <v>0</v>
      </c>
      <c r="Q270" s="88">
        <f>IF(I270&gt;H270,1,0)+IF(K270&gt;J270,1,0)+IF(M270&gt;L270,1,0)</f>
        <v>2</v>
      </c>
      <c r="R270" s="45"/>
      <c r="S270" s="49">
        <f>H270+J270+L270</f>
        <v>28</v>
      </c>
      <c r="T270" s="91">
        <f>I270+K270+M270</f>
        <v>50</v>
      </c>
      <c r="U270" s="171"/>
      <c r="V270" s="124" t="s">
        <v>161</v>
      </c>
    </row>
    <row r="271" spans="1:22" ht="20.100000000000001" customHeight="1" x14ac:dyDescent="0.3">
      <c r="B271" s="172"/>
      <c r="F271" s="40"/>
      <c r="G271" s="98" t="s">
        <v>46</v>
      </c>
      <c r="H271" s="99"/>
      <c r="I271" s="99"/>
      <c r="J271" s="99"/>
      <c r="K271" s="99"/>
      <c r="L271" s="99"/>
      <c r="M271" s="99"/>
      <c r="N271" s="100"/>
      <c r="O271" s="139"/>
      <c r="P271" s="79"/>
      <c r="Q271" s="79"/>
      <c r="R271" s="45"/>
      <c r="S271" s="79"/>
      <c r="T271" s="80"/>
      <c r="U271" s="176"/>
      <c r="V271" s="177"/>
    </row>
    <row r="272" spans="1:22" ht="20.100000000000001" customHeight="1" x14ac:dyDescent="0.3">
      <c r="B272" s="130" t="str">
        <f>G237</f>
        <v>THIMISTER 1</v>
      </c>
      <c r="F272" s="40" t="s">
        <v>159</v>
      </c>
      <c r="G272" s="41" t="str">
        <f>IF(P259+Q259=0,"perdant H11",IF(P259&lt;Q259,G259,N259))</f>
        <v>ZANHOVEN 2</v>
      </c>
      <c r="H272" s="123">
        <v>25</v>
      </c>
      <c r="I272" s="123">
        <v>23</v>
      </c>
      <c r="J272" s="123">
        <v>25</v>
      </c>
      <c r="K272" s="123">
        <v>18</v>
      </c>
      <c r="L272" s="123"/>
      <c r="M272" s="123"/>
      <c r="N272" s="178" t="str">
        <f>IF(P263+Q263=0,"perdant H12",IF(P263&lt;Q263,G263,N263))</f>
        <v>ENSISHEIM</v>
      </c>
      <c r="O272" s="154"/>
      <c r="P272" s="38">
        <f>IF(H272&gt;I272,1,0)+IF(J272&gt;K272,1,0)+IF(L272&gt;M272,1,0)</f>
        <v>2</v>
      </c>
      <c r="Q272" s="44">
        <f>IF(I272&gt;H272,1,0)+IF(K272&gt;J272,1,0)+IF(M272&gt;L272,1,0)</f>
        <v>0</v>
      </c>
      <c r="R272" s="45"/>
      <c r="S272" s="38">
        <f>H272+J272+L272</f>
        <v>50</v>
      </c>
      <c r="T272" s="46">
        <f>I272+K272+M272</f>
        <v>41</v>
      </c>
      <c r="U272" s="36"/>
      <c r="V272" s="124" t="s">
        <v>162</v>
      </c>
    </row>
    <row r="273" spans="1:22" ht="20.100000000000001" customHeight="1" x14ac:dyDescent="0.3">
      <c r="B273" s="172"/>
      <c r="F273" s="40"/>
      <c r="G273" s="100" t="s">
        <v>52</v>
      </c>
      <c r="H273" s="78"/>
      <c r="I273" s="78"/>
      <c r="J273" s="78"/>
      <c r="K273" s="78"/>
      <c r="L273" s="78"/>
      <c r="M273" s="78"/>
      <c r="N273" s="78"/>
      <c r="O273" s="139"/>
      <c r="P273" s="79"/>
      <c r="Q273" s="79"/>
      <c r="R273" s="45"/>
      <c r="S273" s="79"/>
      <c r="T273" s="80"/>
      <c r="U273" s="176"/>
      <c r="V273" s="177"/>
    </row>
    <row r="274" spans="1:22" ht="20.100000000000001" customHeight="1" thickBot="1" x14ac:dyDescent="0.35">
      <c r="B274" s="130" t="str">
        <f>N235</f>
        <v>CD 68-1</v>
      </c>
      <c r="F274" s="40" t="s">
        <v>159</v>
      </c>
      <c r="G274" s="41" t="str">
        <f>IF(P261+Q261=0,"perdant H13",IF(P261&lt;Q261,G261,N261))</f>
        <v>YUTZ 1</v>
      </c>
      <c r="H274" s="123">
        <v>25</v>
      </c>
      <c r="I274" s="123">
        <v>14</v>
      </c>
      <c r="J274" s="123">
        <v>25</v>
      </c>
      <c r="K274" s="123">
        <v>14</v>
      </c>
      <c r="L274" s="123"/>
      <c r="M274" s="123"/>
      <c r="N274" s="178" t="str">
        <f>IF(P265+Q265=0,"perdant H14",IF(P265&lt;Q265,G265,N265))</f>
        <v>AUBAGNE</v>
      </c>
      <c r="O274" s="154"/>
      <c r="P274" s="38">
        <f>IF(H274&gt;I274,1,0)+IF(J274&gt;K274,1,0)+IF(L274&gt;M274,1,0)</f>
        <v>2</v>
      </c>
      <c r="Q274" s="44">
        <f>IF(I274&gt;H274,1,0)+IF(K274&gt;J274,1,0)+IF(M274&gt;L274,1,0)</f>
        <v>0</v>
      </c>
      <c r="R274" s="45"/>
      <c r="S274" s="38">
        <f>H274+J274+L274</f>
        <v>50</v>
      </c>
      <c r="T274" s="46">
        <f>I274+K274+M274</f>
        <v>28</v>
      </c>
      <c r="U274" s="36"/>
      <c r="V274" s="124" t="s">
        <v>163</v>
      </c>
    </row>
    <row r="275" spans="1:22" ht="20.100000000000001" customHeight="1" thickBot="1" x14ac:dyDescent="0.35">
      <c r="B275" s="172"/>
      <c r="F275" s="180"/>
      <c r="G275" s="151" t="s">
        <v>147</v>
      </c>
      <c r="H275" s="152"/>
      <c r="I275" s="152"/>
      <c r="J275" s="152"/>
      <c r="K275" s="152"/>
      <c r="L275" s="152"/>
      <c r="M275" s="152"/>
      <c r="N275" s="153"/>
      <c r="O275" s="154"/>
      <c r="P275" s="181"/>
      <c r="Q275" s="181"/>
      <c r="R275" s="45"/>
      <c r="S275" s="181"/>
      <c r="T275" s="182"/>
      <c r="U275" s="36"/>
      <c r="V275" s="179"/>
    </row>
    <row r="276" spans="1:22" ht="20.100000000000001" customHeight="1" x14ac:dyDescent="0.3">
      <c r="B276" s="172"/>
      <c r="F276" s="40"/>
      <c r="G276" s="98" t="s">
        <v>52</v>
      </c>
      <c r="H276" s="99"/>
      <c r="I276" s="99"/>
      <c r="J276" s="99"/>
      <c r="K276" s="99"/>
      <c r="L276" s="99"/>
      <c r="M276" s="99"/>
      <c r="N276" s="100"/>
      <c r="O276" s="139"/>
      <c r="P276" s="79"/>
      <c r="Q276" s="79"/>
      <c r="R276" s="45"/>
      <c r="S276" s="79"/>
      <c r="T276" s="80"/>
      <c r="U276" s="176"/>
      <c r="V276" s="177"/>
    </row>
    <row r="277" spans="1:22" ht="20.100000000000001" customHeight="1" x14ac:dyDescent="0.3">
      <c r="B277" s="130" t="str">
        <f>N278</f>
        <v>YUTZ 1</v>
      </c>
      <c r="F277" s="83" t="s">
        <v>141</v>
      </c>
      <c r="G277" s="131" t="str">
        <f>IF(P272+Q272=0,"perdant H15",IF(P272&lt;Q272,G272,N272))</f>
        <v>ENSISHEIM</v>
      </c>
      <c r="H277" s="132">
        <v>25</v>
      </c>
      <c r="I277" s="132">
        <v>22</v>
      </c>
      <c r="J277" s="132">
        <v>24</v>
      </c>
      <c r="K277" s="132">
        <v>26</v>
      </c>
      <c r="L277" s="132">
        <v>15</v>
      </c>
      <c r="M277" s="132">
        <v>8</v>
      </c>
      <c r="N277" s="194" t="str">
        <f>IF(P274+Q274=0,"perdant H16",IF(P274&lt;Q274,G274,N274))</f>
        <v>AUBAGNE</v>
      </c>
      <c r="O277" s="154"/>
      <c r="P277" s="134">
        <f t="shared" ref="P277" si="112">IF(H277&gt;I277,1,0)+IF(J277&gt;K277,1,0)+IF(L277&gt;M277,1,0)</f>
        <v>2</v>
      </c>
      <c r="Q277" s="135">
        <f>IF(I277&gt;H277,1,0)+IF(K277&gt;J277,1,0)+IF(M277&gt;L277,1,0)</f>
        <v>1</v>
      </c>
      <c r="R277" s="90"/>
      <c r="S277" s="134">
        <f t="shared" ref="S277:T277" si="113">H277+J277+L277</f>
        <v>64</v>
      </c>
      <c r="T277" s="195">
        <f t="shared" si="113"/>
        <v>56</v>
      </c>
      <c r="U277" s="36"/>
      <c r="V277" s="137" t="s">
        <v>164</v>
      </c>
    </row>
    <row r="278" spans="1:22" ht="20.100000000000001" customHeight="1" x14ac:dyDescent="0.3">
      <c r="B278" s="168" t="s">
        <v>165</v>
      </c>
      <c r="F278" s="40" t="s">
        <v>166</v>
      </c>
      <c r="G278" s="196" t="str">
        <f>IF(P272+Q272=0,"gagnant H15",IF(P272&gt;Q272,G272,N272))</f>
        <v>ZANHOVEN 2</v>
      </c>
      <c r="H278" s="123">
        <v>25</v>
      </c>
      <c r="I278" s="123">
        <v>16</v>
      </c>
      <c r="J278" s="123">
        <v>25</v>
      </c>
      <c r="K278" s="123">
        <v>15</v>
      </c>
      <c r="L278" s="123"/>
      <c r="M278" s="123"/>
      <c r="N278" s="185" t="str">
        <f>IF(P274+Q274=0,"gagnant H16",IF(P274&gt;Q274,G274,N274))</f>
        <v>YUTZ 1</v>
      </c>
      <c r="O278" s="128"/>
      <c r="P278" s="38">
        <f>IF(H278&gt;I278,1,0)+IF(J278&gt;K278,1,0)+IF(L278&gt;M278,1,0)</f>
        <v>2</v>
      </c>
      <c r="Q278" s="44">
        <f>IF(I278&gt;H278,1,0)+IF(K278&gt;J278,1,0)+IF(M278&gt;L278,1,0)</f>
        <v>0</v>
      </c>
      <c r="R278" s="45"/>
      <c r="S278" s="38">
        <f>H278+J278+L278</f>
        <v>50</v>
      </c>
      <c r="T278" s="46">
        <f>I278+K278+M278</f>
        <v>31</v>
      </c>
      <c r="U278" s="197"/>
      <c r="V278" s="124" t="s">
        <v>167</v>
      </c>
    </row>
    <row r="279" spans="1:22" ht="20.100000000000001" customHeight="1" x14ac:dyDescent="0.3">
      <c r="B279" s="172"/>
      <c r="F279" s="40"/>
      <c r="G279" s="100" t="s">
        <v>34</v>
      </c>
      <c r="H279" s="78"/>
      <c r="I279" s="78"/>
      <c r="J279" s="78"/>
      <c r="K279" s="78"/>
      <c r="L279" s="78"/>
      <c r="M279" s="78"/>
      <c r="N279" s="78"/>
      <c r="O279" s="139"/>
      <c r="P279" s="79"/>
      <c r="Q279" s="79"/>
      <c r="R279" s="45"/>
      <c r="S279" s="79"/>
      <c r="T279" s="80"/>
      <c r="U279" s="176"/>
      <c r="V279" s="177"/>
    </row>
    <row r="280" spans="1:22" ht="20.100000000000001" customHeight="1" x14ac:dyDescent="0.3">
      <c r="B280" s="168" t="s">
        <v>92</v>
      </c>
      <c r="F280" s="83" t="s">
        <v>166</v>
      </c>
      <c r="G280" s="41" t="str">
        <f>IF(P268+Q268=0,"perdant H17",IF(P268&lt;Q268,G268,N268))</f>
        <v>HARNES</v>
      </c>
      <c r="H280" s="123">
        <v>25</v>
      </c>
      <c r="I280" s="123">
        <v>22</v>
      </c>
      <c r="J280" s="123">
        <v>22</v>
      </c>
      <c r="K280" s="123">
        <v>25</v>
      </c>
      <c r="L280" s="123">
        <v>15</v>
      </c>
      <c r="M280" s="123">
        <v>13</v>
      </c>
      <c r="N280" s="178" t="str">
        <f>IF(P270+Q270=0,"perdant H18",IF(P270&lt;Q270,G270,N270))</f>
        <v>LE TOUQUET</v>
      </c>
      <c r="O280" s="154"/>
      <c r="P280" s="38">
        <f>IF(H280&gt;I280,1,0)+IF(J280&gt;K280,1,0)+IF(L280&gt;M280,1,0)</f>
        <v>2</v>
      </c>
      <c r="Q280" s="44">
        <f>IF(I280&gt;H280,1,0)+IF(K280&gt;J280,1,0)+IF(M280&gt;L280,1,0)</f>
        <v>1</v>
      </c>
      <c r="R280" s="45"/>
      <c r="S280" s="38">
        <f t="shared" ref="S280:T280" si="114">H280+J280+L280</f>
        <v>62</v>
      </c>
      <c r="T280" s="46">
        <f t="shared" si="114"/>
        <v>60</v>
      </c>
      <c r="U280" s="36"/>
      <c r="V280" s="137" t="s">
        <v>168</v>
      </c>
    </row>
    <row r="281" spans="1:22" ht="20.100000000000001" customHeight="1" x14ac:dyDescent="0.3">
      <c r="B281" s="198"/>
      <c r="F281" s="40"/>
      <c r="G281" s="100" t="s">
        <v>40</v>
      </c>
      <c r="H281" s="78"/>
      <c r="I281" s="78"/>
      <c r="J281" s="78"/>
      <c r="K281" s="78"/>
      <c r="L281" s="78"/>
      <c r="M281" s="78"/>
      <c r="N281" s="78"/>
      <c r="O281" s="139"/>
      <c r="P281" s="79"/>
      <c r="Q281" s="79"/>
      <c r="R281" s="45"/>
      <c r="S281" s="79"/>
      <c r="T281" s="80"/>
      <c r="U281" s="176"/>
      <c r="V281" s="177"/>
    </row>
    <row r="282" spans="1:22" ht="20.100000000000001" customHeight="1" thickBot="1" x14ac:dyDescent="0.35">
      <c r="A282" s="70"/>
      <c r="B282" s="188" t="s">
        <v>169</v>
      </c>
      <c r="F282" s="68" t="s">
        <v>170</v>
      </c>
      <c r="G282" s="55" t="str">
        <f>IF(P268+Q268=0,"gagnant H17",IF(P268&gt;Q268,G268,N268))</f>
        <v>VILLEJUIF</v>
      </c>
      <c r="H282" s="145">
        <v>14</v>
      </c>
      <c r="I282" s="145">
        <v>25</v>
      </c>
      <c r="J282" s="145">
        <v>19</v>
      </c>
      <c r="K282" s="145">
        <v>25</v>
      </c>
      <c r="L282" s="145"/>
      <c r="M282" s="145"/>
      <c r="N282" s="186" t="str">
        <f>IF(P270+Q270=0,"gagnant H18",IF(P270&gt;Q270,G270,N270))</f>
        <v>AACHEN</v>
      </c>
      <c r="O282" s="187"/>
      <c r="P282" s="189">
        <f>IF(H282&gt;I282,1,0)+IF(J282&gt;K282,1,0)+IF(L282&gt;M282,1,0)</f>
        <v>0</v>
      </c>
      <c r="Q282" s="190">
        <f>IF(I282&gt;H282,1,0)+IF(K282&gt;J282,1,0)+IF(M282&gt;L282,1,0)</f>
        <v>2</v>
      </c>
      <c r="R282" s="191"/>
      <c r="S282" s="192">
        <f>H282+J282+L282</f>
        <v>33</v>
      </c>
      <c r="T282" s="193">
        <f>I282+K282+M282</f>
        <v>50</v>
      </c>
      <c r="U282" s="191" t="e">
        <f t="shared" ref="U282" si="115">J282+L282+N282</f>
        <v>#VALUE!</v>
      </c>
      <c r="V282" s="149" t="s">
        <v>171</v>
      </c>
    </row>
    <row r="283" spans="1:22" ht="5.0999999999999996" customHeight="1" thickBot="1" x14ac:dyDescent="0.35">
      <c r="A283" s="70"/>
      <c r="B283" s="70"/>
    </row>
    <row r="284" spans="1:22" ht="39.9" customHeight="1" x14ac:dyDescent="0.3">
      <c r="F284" s="2" t="s"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4"/>
    </row>
    <row r="285" spans="1:22" ht="39.9" customHeight="1" x14ac:dyDescent="0.3">
      <c r="F285" s="6" t="s">
        <v>172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8"/>
    </row>
    <row r="286" spans="1:22" ht="30" customHeight="1" thickBot="1" x14ac:dyDescent="0.35">
      <c r="F286" s="9" t="s">
        <v>128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1"/>
    </row>
    <row r="287" spans="1:22" ht="5.0999999999999996" customHeight="1" thickBot="1" x14ac:dyDescent="0.35">
      <c r="A287" s="70"/>
    </row>
    <row r="288" spans="1:22" ht="20.100000000000001" customHeight="1" thickBot="1" x14ac:dyDescent="0.35">
      <c r="A288" s="70"/>
      <c r="G288" s="103" t="s">
        <v>131</v>
      </c>
      <c r="H288" s="104"/>
      <c r="I288" s="104"/>
      <c r="J288" s="104"/>
      <c r="K288" s="104"/>
      <c r="L288" s="104"/>
      <c r="M288" s="104"/>
      <c r="N288" s="105"/>
    </row>
    <row r="289" spans="1:22" ht="20.100000000000001" customHeight="1" x14ac:dyDescent="0.3">
      <c r="A289" s="106"/>
      <c r="B289" s="107" t="s">
        <v>132</v>
      </c>
      <c r="F289" s="108" t="s">
        <v>4</v>
      </c>
      <c r="G289" s="109" t="s">
        <v>90</v>
      </c>
      <c r="H289" s="110"/>
      <c r="I289" s="110"/>
      <c r="J289" s="110"/>
      <c r="K289" s="110"/>
      <c r="L289" s="110"/>
      <c r="M289" s="110"/>
      <c r="N289" s="15"/>
      <c r="O289" s="17"/>
      <c r="P289" s="111" t="s">
        <v>6</v>
      </c>
      <c r="Q289" s="112"/>
      <c r="R289" s="20"/>
      <c r="S289" s="113" t="s">
        <v>7</v>
      </c>
      <c r="T289" s="114"/>
      <c r="U289" s="115"/>
      <c r="V289" s="23" t="s">
        <v>133</v>
      </c>
    </row>
    <row r="290" spans="1:22" ht="20.100000000000001" customHeight="1" thickBot="1" x14ac:dyDescent="0.35">
      <c r="A290" s="106"/>
      <c r="B290" s="116"/>
      <c r="F290" s="117"/>
      <c r="G290" s="28"/>
      <c r="H290" s="29" t="s">
        <v>17</v>
      </c>
      <c r="I290" s="118"/>
      <c r="J290" s="29" t="s">
        <v>18</v>
      </c>
      <c r="K290" s="118"/>
      <c r="L290" s="29" t="s">
        <v>19</v>
      </c>
      <c r="M290" s="118"/>
      <c r="N290" s="28"/>
      <c r="O290" s="31"/>
      <c r="P290" s="119"/>
      <c r="Q290" s="119"/>
      <c r="R290" s="34"/>
      <c r="S290" s="119"/>
      <c r="T290" s="120"/>
      <c r="U290" s="121"/>
      <c r="V290" s="37"/>
    </row>
    <row r="291" spans="1:22" ht="20.100000000000001" customHeight="1" x14ac:dyDescent="0.3">
      <c r="A291" s="71"/>
      <c r="B291" s="122" t="s">
        <v>134</v>
      </c>
      <c r="F291" s="40" t="s">
        <v>129</v>
      </c>
      <c r="G291" s="41" t="str">
        <f>IF('[1]classement poule 2ème phase'!B84="","3EME POULE M",'[1]classement poule 2ème phase'!B84)</f>
        <v>CD 68-3</v>
      </c>
      <c r="H291" s="123">
        <v>25</v>
      </c>
      <c r="I291" s="123">
        <v>18</v>
      </c>
      <c r="J291" s="123">
        <v>25</v>
      </c>
      <c r="K291" s="123">
        <v>18</v>
      </c>
      <c r="L291" s="123"/>
      <c r="M291" s="123"/>
      <c r="N291" s="43" t="str">
        <f>IF('[1]classement poule 2ème phase'!B133="","3EME POULE T",'[1]classement poule 2ème phase'!B133)</f>
        <v>RIXHEIM</v>
      </c>
      <c r="O291" s="31"/>
      <c r="P291" s="38">
        <f t="shared" ref="P291" si="116">IF(H291&gt;I291,1,0)+IF(J291&gt;K291,1,0)+IF(L291&gt;M291,1,0)</f>
        <v>2</v>
      </c>
      <c r="Q291" s="44">
        <f>IF(I291&gt;H291,1,0)+IF(K291&gt;J291,1,0)+IF(M291&gt;L291,1,0)</f>
        <v>0</v>
      </c>
      <c r="R291" s="45"/>
      <c r="S291" s="38">
        <f t="shared" ref="S291:T291" si="117">H291+J291+L291</f>
        <v>50</v>
      </c>
      <c r="T291" s="46">
        <f t="shared" si="117"/>
        <v>36</v>
      </c>
      <c r="U291" s="121"/>
      <c r="V291" s="124" t="s">
        <v>173</v>
      </c>
    </row>
    <row r="292" spans="1:22" ht="20.100000000000001" customHeight="1" x14ac:dyDescent="0.3">
      <c r="A292" s="71"/>
      <c r="B292" s="125"/>
      <c r="F292" s="126"/>
      <c r="G292" s="98" t="s">
        <v>83</v>
      </c>
      <c r="H292" s="99"/>
      <c r="I292" s="99"/>
      <c r="J292" s="99"/>
      <c r="K292" s="99"/>
      <c r="L292" s="99"/>
      <c r="M292" s="99"/>
      <c r="N292" s="100"/>
      <c r="O292" s="31"/>
      <c r="P292" s="79"/>
      <c r="Q292" s="79"/>
      <c r="R292" s="45"/>
      <c r="S292" s="79"/>
      <c r="T292" s="127"/>
      <c r="U292" s="128"/>
      <c r="V292" s="129"/>
    </row>
    <row r="293" spans="1:22" ht="20.100000000000001" customHeight="1" thickBot="1" x14ac:dyDescent="0.35">
      <c r="A293" s="71"/>
      <c r="B293" s="130" t="s">
        <v>134</v>
      </c>
      <c r="F293" s="83" t="s">
        <v>129</v>
      </c>
      <c r="G293" s="131" t="str">
        <f>IF('[1]classement poule 2ème phase'!B91="","3EME POULE N",'[1]classement poule 2ème phase'!B91)</f>
        <v>WEISSWASSER</v>
      </c>
      <c r="H293" s="132">
        <v>25</v>
      </c>
      <c r="I293" s="132">
        <v>8</v>
      </c>
      <c r="J293" s="132">
        <v>25</v>
      </c>
      <c r="K293" s="132">
        <v>17</v>
      </c>
      <c r="L293" s="132"/>
      <c r="M293" s="132"/>
      <c r="N293" s="133" t="str">
        <f>IF('[1]classement poule 2ème phase'!B126="","3EME POULE S",'[1]classement poule 2ème phase'!B126)</f>
        <v>YUTZ 2</v>
      </c>
      <c r="O293" s="31"/>
      <c r="P293" s="134">
        <f t="shared" ref="P293" si="118">IF(H293&gt;I293,1,0)+IF(J293&gt;K293,1,0)+IF(L293&gt;M293,1,0)</f>
        <v>2</v>
      </c>
      <c r="Q293" s="135">
        <f>IF(I293&gt;H293,1,0)+IF(K293&gt;J293,1,0)+IF(M293&gt;L293,1,0)</f>
        <v>0</v>
      </c>
      <c r="R293" s="90"/>
      <c r="S293" s="134">
        <f t="shared" ref="S293:T293" si="119">H293+J293+L293</f>
        <v>50</v>
      </c>
      <c r="T293" s="135">
        <f t="shared" si="119"/>
        <v>25</v>
      </c>
      <c r="U293" s="136"/>
      <c r="V293" s="137" t="s">
        <v>174</v>
      </c>
    </row>
    <row r="294" spans="1:22" ht="20.100000000000001" customHeight="1" x14ac:dyDescent="0.3">
      <c r="A294" s="70"/>
      <c r="B294" s="138"/>
      <c r="F294" s="40"/>
      <c r="G294" s="98" t="s">
        <v>80</v>
      </c>
      <c r="H294" s="99"/>
      <c r="I294" s="99"/>
      <c r="J294" s="99"/>
      <c r="K294" s="99"/>
      <c r="L294" s="99"/>
      <c r="M294" s="99"/>
      <c r="N294" s="100"/>
      <c r="O294" s="139"/>
      <c r="P294" s="140"/>
      <c r="Q294" s="141"/>
      <c r="R294" s="34"/>
      <c r="S294" s="142"/>
      <c r="T294" s="143"/>
      <c r="U294" s="22"/>
      <c r="V294" s="144"/>
    </row>
    <row r="295" spans="1:22" ht="20.100000000000001" customHeight="1" x14ac:dyDescent="0.3">
      <c r="A295" s="106"/>
      <c r="B295" s="130" t="s">
        <v>134</v>
      </c>
      <c r="F295" s="40" t="s">
        <v>129</v>
      </c>
      <c r="G295" s="41" t="str">
        <f>IF('[1]classement poule 2ème phase'!B98="","3EME POULE O",'[1]classement poule 2ème phase'!B98)</f>
        <v>KINGERSHEIM 1</v>
      </c>
      <c r="H295" s="123">
        <v>25</v>
      </c>
      <c r="I295" s="123">
        <v>18</v>
      </c>
      <c r="J295" s="123">
        <v>25</v>
      </c>
      <c r="K295" s="123">
        <v>16</v>
      </c>
      <c r="L295" s="123"/>
      <c r="M295" s="123"/>
      <c r="N295" s="43" t="str">
        <f>IF('[1]classement poule 2ème phase'!B119="","3EME POULE R",'[1]classement poule 2ème phase'!B119)</f>
        <v>UNION DU CENTRE 2</v>
      </c>
      <c r="O295" s="31"/>
      <c r="P295" s="38">
        <f t="shared" ref="P295" si="120">IF(H295&gt;I295,1,0)+IF(J295&gt;K295,1,0)+IF(L295&gt;M295,1,0)</f>
        <v>2</v>
      </c>
      <c r="Q295" s="44">
        <f>IF(I295&gt;H295,1,0)+IF(K295&gt;J295,1,0)+IF(M295&gt;L295,1,0)</f>
        <v>0</v>
      </c>
      <c r="R295" s="45"/>
      <c r="S295" s="38">
        <f t="shared" ref="S295:T295" si="121">H295+J295+L295</f>
        <v>50</v>
      </c>
      <c r="T295" s="46">
        <f t="shared" si="121"/>
        <v>34</v>
      </c>
      <c r="U295" s="36"/>
      <c r="V295" s="124" t="s">
        <v>175</v>
      </c>
    </row>
    <row r="296" spans="1:22" ht="20.100000000000001" customHeight="1" x14ac:dyDescent="0.3">
      <c r="A296" s="106"/>
      <c r="B296" s="125"/>
      <c r="F296" s="126"/>
      <c r="G296" s="98" t="s">
        <v>87</v>
      </c>
      <c r="H296" s="99"/>
      <c r="I296" s="99"/>
      <c r="J296" s="99"/>
      <c r="K296" s="99"/>
      <c r="L296" s="99"/>
      <c r="M296" s="99"/>
      <c r="N296" s="100"/>
      <c r="O296" s="31"/>
      <c r="P296" s="79"/>
      <c r="Q296" s="79"/>
      <c r="R296" s="45"/>
      <c r="S296" s="79"/>
      <c r="T296" s="127"/>
      <c r="U296" s="128"/>
      <c r="V296" s="129"/>
    </row>
    <row r="297" spans="1:22" ht="20.100000000000001" customHeight="1" thickBot="1" x14ac:dyDescent="0.35">
      <c r="A297" s="71"/>
      <c r="B297" s="130" t="s">
        <v>134</v>
      </c>
      <c r="F297" s="68" t="s">
        <v>129</v>
      </c>
      <c r="G297" s="55" t="str">
        <f>IF('[1]classement poule 2ème phase'!B105="","3EME POULE P",'[1]classement poule 2ème phase'!B105)</f>
        <v>KINGERSHEIM 2</v>
      </c>
      <c r="H297" s="145">
        <v>23</v>
      </c>
      <c r="I297" s="145">
        <v>25</v>
      </c>
      <c r="J297" s="145">
        <v>21</v>
      </c>
      <c r="K297" s="145">
        <v>25</v>
      </c>
      <c r="L297" s="145"/>
      <c r="M297" s="145"/>
      <c r="N297" s="146" t="str">
        <f>IF('[1]classement poule 2ème phase'!B112="","3EME POULE Q",'[1]classement poule 2ème phase'!B112)</f>
        <v>CD 68-4</v>
      </c>
      <c r="O297" s="56"/>
      <c r="P297" s="58">
        <f t="shared" ref="P297" si="122">IF(H297&gt;I297,1,0)+IF(J297&gt;K297,1,0)+IF(L297&gt;M297,1,0)</f>
        <v>0</v>
      </c>
      <c r="Q297" s="147">
        <f>IF(I297&gt;H297,1,0)+IF(K297&gt;J297,1,0)+IF(M297&gt;L297,1,0)</f>
        <v>2</v>
      </c>
      <c r="R297" s="59"/>
      <c r="S297" s="58">
        <f t="shared" ref="S297:T297" si="123">H297+J297+L297</f>
        <v>44</v>
      </c>
      <c r="T297" s="148">
        <f t="shared" si="123"/>
        <v>50</v>
      </c>
      <c r="U297" s="61"/>
      <c r="V297" s="149" t="s">
        <v>176</v>
      </c>
    </row>
    <row r="298" spans="1:22" ht="20.100000000000001" customHeight="1" thickBot="1" x14ac:dyDescent="0.35">
      <c r="A298" s="71"/>
      <c r="B298" s="125"/>
      <c r="F298" s="150"/>
      <c r="G298" s="151" t="s">
        <v>140</v>
      </c>
      <c r="H298" s="152"/>
      <c r="I298" s="152"/>
      <c r="J298" s="152"/>
      <c r="K298" s="152"/>
      <c r="L298" s="152"/>
      <c r="M298" s="152"/>
      <c r="N298" s="153"/>
      <c r="O298" s="154"/>
      <c r="P298" s="155"/>
      <c r="Q298" s="156"/>
      <c r="R298" s="158"/>
      <c r="S298" s="158"/>
      <c r="T298" s="155"/>
      <c r="U298" s="36"/>
      <c r="V298" s="159"/>
    </row>
    <row r="299" spans="1:22" ht="20.100000000000001" customHeight="1" x14ac:dyDescent="0.3">
      <c r="B299" s="138"/>
      <c r="F299" s="108"/>
      <c r="G299" s="109" t="s">
        <v>90</v>
      </c>
      <c r="H299" s="110"/>
      <c r="I299" s="110"/>
      <c r="J299" s="110"/>
      <c r="K299" s="110"/>
      <c r="L299" s="110"/>
      <c r="M299" s="110"/>
      <c r="N299" s="160"/>
      <c r="O299" s="161"/>
      <c r="P299" s="162"/>
      <c r="Q299" s="163"/>
      <c r="R299" s="20"/>
      <c r="S299" s="164"/>
      <c r="T299" s="165"/>
      <c r="U299" s="166"/>
      <c r="V299" s="167"/>
    </row>
    <row r="300" spans="1:22" ht="20.100000000000001" customHeight="1" x14ac:dyDescent="0.3">
      <c r="B300" s="168" t="s">
        <v>177</v>
      </c>
      <c r="F300" s="40" t="s">
        <v>159</v>
      </c>
      <c r="G300" s="77" t="str">
        <f>IF(P291+Q291=0,"gagnant H21",IF(P291&gt;Q291,G291,N291))</f>
        <v>CD 68-3</v>
      </c>
      <c r="H300" s="123">
        <v>31</v>
      </c>
      <c r="I300" s="123">
        <v>29</v>
      </c>
      <c r="J300" s="123">
        <v>25</v>
      </c>
      <c r="K300" s="123">
        <v>11</v>
      </c>
      <c r="L300" s="123"/>
      <c r="M300" s="123"/>
      <c r="N300" s="169" t="str">
        <f>IF(P295+Q295=0,"gagnant H22",IF(P295&gt;Q295,G295,N295))</f>
        <v>KINGERSHEIM 1</v>
      </c>
      <c r="O300" s="170"/>
      <c r="P300" s="49">
        <f>IF(H300&gt;I300,1,0)+IF(J300&gt;K300,1,0)+IF(L300&gt;M300,1,0)</f>
        <v>2</v>
      </c>
      <c r="Q300" s="88">
        <f>IF(I300&gt;H300,1,0)+IF(K300&gt;J300,1,0)+IF(M300&gt;L300,1,0)</f>
        <v>0</v>
      </c>
      <c r="R300" s="45"/>
      <c r="S300" s="49">
        <f>H300+J300+L300</f>
        <v>56</v>
      </c>
      <c r="T300" s="91">
        <f>I300+K300+M300</f>
        <v>40</v>
      </c>
      <c r="U300" s="171"/>
      <c r="V300" s="124" t="s">
        <v>178</v>
      </c>
    </row>
    <row r="301" spans="1:22" ht="20.100000000000001" customHeight="1" x14ac:dyDescent="0.3">
      <c r="B301" s="172"/>
      <c r="F301" s="40"/>
      <c r="G301" s="173" t="s">
        <v>83</v>
      </c>
      <c r="H301" s="174"/>
      <c r="I301" s="174"/>
      <c r="J301" s="174"/>
      <c r="K301" s="174"/>
      <c r="L301" s="174"/>
      <c r="M301" s="174"/>
      <c r="N301" s="174"/>
      <c r="O301" s="31"/>
      <c r="P301" s="79"/>
      <c r="Q301" s="79"/>
      <c r="R301" s="45"/>
      <c r="S301" s="79"/>
      <c r="T301" s="80"/>
      <c r="U301" s="36"/>
      <c r="V301" s="175"/>
    </row>
    <row r="302" spans="1:22" ht="20.100000000000001" customHeight="1" x14ac:dyDescent="0.3">
      <c r="B302" s="168" t="s">
        <v>179</v>
      </c>
      <c r="F302" s="40" t="s">
        <v>159</v>
      </c>
      <c r="G302" s="77" t="str">
        <f>IF(P293+Q293=0,"gagnant H23",IF(P293&gt;Q293,G293,N293))</f>
        <v>WEISSWASSER</v>
      </c>
      <c r="H302" s="123">
        <v>25</v>
      </c>
      <c r="I302" s="123">
        <v>9</v>
      </c>
      <c r="J302" s="123">
        <v>25</v>
      </c>
      <c r="K302" s="123">
        <v>8</v>
      </c>
      <c r="L302" s="123"/>
      <c r="M302" s="123"/>
      <c r="N302" s="169" t="str">
        <f>IF(P297+Q297=0,"gagnant H24",IF(P297&gt;Q297,G297,N297))</f>
        <v>CD 68-4</v>
      </c>
      <c r="O302" s="170"/>
      <c r="P302" s="49">
        <f>IF(H302&gt;I302,1,0)+IF(J302&gt;K302,1,0)+IF(L302&gt;M302,1,0)</f>
        <v>2</v>
      </c>
      <c r="Q302" s="88">
        <f>IF(I302&gt;H302,1,0)+IF(K302&gt;J302,1,0)+IF(M302&gt;L302,1,0)</f>
        <v>0</v>
      </c>
      <c r="R302" s="45"/>
      <c r="S302" s="49">
        <f>H302+J302+L302</f>
        <v>50</v>
      </c>
      <c r="T302" s="91">
        <f>I302+K302+M302</f>
        <v>17</v>
      </c>
      <c r="U302" s="171"/>
      <c r="V302" s="124" t="s">
        <v>180</v>
      </c>
    </row>
    <row r="303" spans="1:22" ht="20.100000000000001" customHeight="1" x14ac:dyDescent="0.3">
      <c r="B303" s="172"/>
      <c r="F303" s="40"/>
      <c r="G303" s="98" t="s">
        <v>80</v>
      </c>
      <c r="H303" s="99"/>
      <c r="I303" s="99"/>
      <c r="J303" s="99"/>
      <c r="K303" s="99"/>
      <c r="L303" s="99"/>
      <c r="M303" s="99"/>
      <c r="N303" s="100"/>
      <c r="O303" s="139"/>
      <c r="P303" s="79"/>
      <c r="Q303" s="79"/>
      <c r="R303" s="45"/>
      <c r="S303" s="79"/>
      <c r="T303" s="80"/>
      <c r="U303" s="176"/>
      <c r="V303" s="177"/>
    </row>
    <row r="304" spans="1:22" ht="20.100000000000001" customHeight="1" x14ac:dyDescent="0.3">
      <c r="B304" s="168" t="s">
        <v>179</v>
      </c>
      <c r="F304" s="40" t="s">
        <v>159</v>
      </c>
      <c r="G304" s="41" t="str">
        <f>IF(P291+Q291=0,"perdant H21",IF(P291&lt;Q291,G291,N291))</f>
        <v>RIXHEIM</v>
      </c>
      <c r="H304" s="123">
        <v>22</v>
      </c>
      <c r="I304" s="123">
        <v>25</v>
      </c>
      <c r="J304" s="123">
        <v>25</v>
      </c>
      <c r="K304" s="123">
        <v>22</v>
      </c>
      <c r="L304" s="123">
        <v>8</v>
      </c>
      <c r="M304" s="123">
        <v>15</v>
      </c>
      <c r="N304" s="178" t="str">
        <f>IF(P295+Q295=0,"perdant H22",IF(P295&lt;Q295,G295,N295))</f>
        <v>UNION DU CENTRE 2</v>
      </c>
      <c r="O304" s="154"/>
      <c r="P304" s="38">
        <f>IF(H304&gt;I304,1,0)+IF(J304&gt;K304,1,0)+IF(L304&gt;M304,1,0)</f>
        <v>1</v>
      </c>
      <c r="Q304" s="44">
        <f>IF(I304&gt;H304,1,0)+IF(K304&gt;J304,1,0)+IF(M304&gt;L304,1,0)</f>
        <v>2</v>
      </c>
      <c r="R304" s="45"/>
      <c r="S304" s="38">
        <f>H304+J304+L304</f>
        <v>55</v>
      </c>
      <c r="T304" s="46">
        <f>I304+K304+M304</f>
        <v>62</v>
      </c>
      <c r="U304" s="36"/>
      <c r="V304" s="124" t="s">
        <v>181</v>
      </c>
    </row>
    <row r="305" spans="1:22" ht="20.100000000000001" customHeight="1" x14ac:dyDescent="0.3">
      <c r="B305" s="172"/>
      <c r="F305" s="40"/>
      <c r="G305" s="100" t="s">
        <v>87</v>
      </c>
      <c r="H305" s="78"/>
      <c r="I305" s="78"/>
      <c r="J305" s="78"/>
      <c r="K305" s="78"/>
      <c r="L305" s="78"/>
      <c r="M305" s="78"/>
      <c r="N305" s="78"/>
      <c r="O305" s="139"/>
      <c r="P305" s="79"/>
      <c r="Q305" s="79"/>
      <c r="R305" s="45"/>
      <c r="S305" s="79"/>
      <c r="T305" s="80"/>
      <c r="U305" s="176"/>
      <c r="V305" s="177"/>
    </row>
    <row r="306" spans="1:22" ht="20.100000000000001" customHeight="1" thickBot="1" x14ac:dyDescent="0.35">
      <c r="B306" s="168" t="s">
        <v>179</v>
      </c>
      <c r="F306" s="40" t="s">
        <v>159</v>
      </c>
      <c r="G306" s="41" t="str">
        <f>IF(P293+Q293=0,"perdant H23",IF(P293&lt;Q293,G293,N293))</f>
        <v>YUTZ 2</v>
      </c>
      <c r="H306" s="123">
        <v>26</v>
      </c>
      <c r="I306" s="123">
        <v>24</v>
      </c>
      <c r="J306" s="123">
        <v>26</v>
      </c>
      <c r="K306" s="123">
        <v>24</v>
      </c>
      <c r="L306" s="123"/>
      <c r="M306" s="123"/>
      <c r="N306" s="178" t="str">
        <f>IF(P297+Q297=0,"perdant H24",IF(P297&lt;Q297,G297,N297))</f>
        <v>KINGERSHEIM 2</v>
      </c>
      <c r="O306" s="154"/>
      <c r="P306" s="38">
        <f>IF(H306&gt;I306,1,0)+IF(J306&gt;K306,1,0)+IF(L306&gt;M306,1,0)</f>
        <v>2</v>
      </c>
      <c r="Q306" s="44">
        <f>IF(I306&gt;H306,1,0)+IF(K306&gt;J306,1,0)+IF(M306&gt;L306,1,0)</f>
        <v>0</v>
      </c>
      <c r="R306" s="45"/>
      <c r="S306" s="38">
        <f>H306+J306+L306</f>
        <v>52</v>
      </c>
      <c r="T306" s="46">
        <f>I306+K306+M306</f>
        <v>48</v>
      </c>
      <c r="U306" s="36"/>
      <c r="V306" s="124" t="s">
        <v>182</v>
      </c>
    </row>
    <row r="307" spans="1:22" ht="20.100000000000001" customHeight="1" thickBot="1" x14ac:dyDescent="0.35">
      <c r="B307" s="172"/>
      <c r="F307" s="180"/>
      <c r="G307" s="151" t="s">
        <v>147</v>
      </c>
      <c r="H307" s="152"/>
      <c r="I307" s="152"/>
      <c r="J307" s="152"/>
      <c r="K307" s="152"/>
      <c r="L307" s="152"/>
      <c r="M307" s="152"/>
      <c r="N307" s="153"/>
      <c r="O307" s="154"/>
      <c r="P307" s="181"/>
      <c r="Q307" s="181"/>
      <c r="R307" s="45"/>
      <c r="S307" s="181"/>
      <c r="T307" s="182"/>
      <c r="U307" s="36"/>
      <c r="V307" s="179"/>
    </row>
    <row r="308" spans="1:22" ht="20.100000000000001" customHeight="1" x14ac:dyDescent="0.3">
      <c r="B308" s="172"/>
      <c r="F308" s="40"/>
      <c r="G308" s="98" t="s">
        <v>80</v>
      </c>
      <c r="H308" s="99"/>
      <c r="I308" s="99"/>
      <c r="J308" s="99"/>
      <c r="K308" s="99"/>
      <c r="L308" s="99"/>
      <c r="M308" s="99"/>
      <c r="N308" s="100"/>
      <c r="O308" s="139"/>
      <c r="P308" s="79"/>
      <c r="Q308" s="79"/>
      <c r="R308" s="45"/>
      <c r="S308" s="79"/>
      <c r="T308" s="80"/>
      <c r="U308" s="176"/>
      <c r="V308" s="177"/>
    </row>
    <row r="309" spans="1:22" ht="20.100000000000001" customHeight="1" x14ac:dyDescent="0.3">
      <c r="B309" s="168" t="s">
        <v>134</v>
      </c>
      <c r="F309" s="40" t="s">
        <v>166</v>
      </c>
      <c r="G309" s="183" t="str">
        <f>IF(P304+Q304=0,"gagnant H25",IF(P304&gt;Q304,G304,N304))</f>
        <v>UNION DU CENTRE 2</v>
      </c>
      <c r="H309" s="184">
        <v>19</v>
      </c>
      <c r="I309" s="184">
        <v>25</v>
      </c>
      <c r="J309" s="184">
        <v>25</v>
      </c>
      <c r="K309" s="184">
        <v>19</v>
      </c>
      <c r="L309" s="184">
        <v>6</v>
      </c>
      <c r="M309" s="184">
        <v>15</v>
      </c>
      <c r="N309" s="185" t="str">
        <f>IF(P306+Q306=0,"gagnant H26",IF(P306&gt;Q306,G306,N306))</f>
        <v>YUTZ 2</v>
      </c>
      <c r="O309" s="154"/>
      <c r="P309" s="38">
        <f>IF(H309&gt;I309,1,0)+IF(J309&gt;K309,1,0)+IF(L309&gt;M309,1,0)</f>
        <v>1</v>
      </c>
      <c r="Q309" s="44">
        <f>IF(I309&gt;H309,1,0)+IF(K309&gt;J309,1,0)+IF(M309&gt;L309,1,0)</f>
        <v>2</v>
      </c>
      <c r="R309" s="45"/>
      <c r="S309" s="38">
        <f>H309+J309+L309</f>
        <v>50</v>
      </c>
      <c r="T309" s="46">
        <f>I309+K309+M309</f>
        <v>59</v>
      </c>
      <c r="U309" s="36"/>
      <c r="V309" s="124" t="s">
        <v>183</v>
      </c>
    </row>
    <row r="310" spans="1:22" ht="20.100000000000001" customHeight="1" x14ac:dyDescent="0.3">
      <c r="B310" s="172"/>
      <c r="F310" s="40"/>
      <c r="G310" s="98" t="s">
        <v>87</v>
      </c>
      <c r="H310" s="99"/>
      <c r="I310" s="99"/>
      <c r="J310" s="99"/>
      <c r="K310" s="99"/>
      <c r="L310" s="99"/>
      <c r="M310" s="99"/>
      <c r="N310" s="100"/>
      <c r="O310" s="139"/>
      <c r="P310" s="79"/>
      <c r="Q310" s="79"/>
      <c r="R310" s="45"/>
      <c r="S310" s="79"/>
      <c r="T310" s="80"/>
      <c r="U310" s="176"/>
      <c r="V310" s="177"/>
    </row>
    <row r="311" spans="1:22" ht="20.100000000000001" customHeight="1" x14ac:dyDescent="0.3">
      <c r="B311" s="168" t="s">
        <v>134</v>
      </c>
      <c r="F311" s="83" t="s">
        <v>166</v>
      </c>
      <c r="G311" s="131" t="str">
        <f>IF(P304+Q304=0,"perdant H25",IF(P304&lt;Q304,G304,N304))</f>
        <v>RIXHEIM</v>
      </c>
      <c r="H311" s="132">
        <v>25</v>
      </c>
      <c r="I311" s="132">
        <v>12</v>
      </c>
      <c r="J311" s="132">
        <v>19</v>
      </c>
      <c r="K311" s="132">
        <v>25</v>
      </c>
      <c r="L311" s="132">
        <v>13</v>
      </c>
      <c r="M311" s="132">
        <v>15</v>
      </c>
      <c r="N311" s="194" t="str">
        <f>IF(P306+Q306=0,"perdant H26",IF(P306&lt;Q306,G306,N306))</f>
        <v>KINGERSHEIM 2</v>
      </c>
      <c r="O311" s="154"/>
      <c r="P311" s="134">
        <f t="shared" ref="P311" si="124">IF(H311&gt;I311,1,0)+IF(J311&gt;K311,1,0)+IF(L311&gt;M311,1,0)</f>
        <v>1</v>
      </c>
      <c r="Q311" s="135">
        <f>IF(I311&gt;H311,1,0)+IF(K311&gt;J311,1,0)+IF(M311&gt;L311,1,0)</f>
        <v>2</v>
      </c>
      <c r="R311" s="90"/>
      <c r="S311" s="134">
        <f t="shared" ref="S311:T311" si="125">H311+J311+L311</f>
        <v>57</v>
      </c>
      <c r="T311" s="195">
        <f t="shared" si="125"/>
        <v>52</v>
      </c>
      <c r="U311" s="36"/>
      <c r="V311" s="137" t="s">
        <v>184</v>
      </c>
    </row>
    <row r="312" spans="1:22" ht="20.100000000000001" customHeight="1" x14ac:dyDescent="0.3">
      <c r="B312" s="172"/>
      <c r="F312" s="40"/>
      <c r="G312" s="100" t="s">
        <v>83</v>
      </c>
      <c r="H312" s="78"/>
      <c r="I312" s="78"/>
      <c r="J312" s="78"/>
      <c r="K312" s="78"/>
      <c r="L312" s="78"/>
      <c r="M312" s="78"/>
      <c r="N312" s="78"/>
      <c r="O312" s="139"/>
      <c r="P312" s="79"/>
      <c r="Q312" s="79"/>
      <c r="R312" s="45"/>
      <c r="S312" s="79"/>
      <c r="T312" s="80"/>
      <c r="U312" s="176"/>
      <c r="V312" s="177"/>
    </row>
    <row r="313" spans="1:22" ht="20.100000000000001" customHeight="1" x14ac:dyDescent="0.3">
      <c r="B313" s="168" t="s">
        <v>134</v>
      </c>
      <c r="F313" s="83" t="s">
        <v>166</v>
      </c>
      <c r="G313" s="41" t="str">
        <f>IF(P300+Q300=0,"perdant H27",IF(P300&lt;Q300,G300,N300))</f>
        <v>KINGERSHEIM 1</v>
      </c>
      <c r="H313" s="123">
        <v>25</v>
      </c>
      <c r="I313" s="123">
        <v>17</v>
      </c>
      <c r="J313" s="123">
        <v>25</v>
      </c>
      <c r="K313" s="123">
        <v>23</v>
      </c>
      <c r="L313" s="123"/>
      <c r="M313" s="123"/>
      <c r="N313" s="178" t="str">
        <f>IF(P302+Q302=0,"perdant H28",IF(P302&lt;Q302,G302,N302))</f>
        <v>CD 68-4</v>
      </c>
      <c r="O313" s="154"/>
      <c r="P313" s="38">
        <f>IF(H313&gt;I313,1,0)+IF(J313&gt;K313,1,0)+IF(L313&gt;M313,1,0)</f>
        <v>2</v>
      </c>
      <c r="Q313" s="44">
        <f>IF(I313&gt;H313,1,0)+IF(K313&gt;J313,1,0)+IF(M313&gt;L313,1,0)</f>
        <v>0</v>
      </c>
      <c r="R313" s="45"/>
      <c r="S313" s="38">
        <f t="shared" ref="S313:T313" si="126">H313+J313+L313</f>
        <v>50</v>
      </c>
      <c r="T313" s="46">
        <f t="shared" si="126"/>
        <v>40</v>
      </c>
      <c r="U313" s="36"/>
      <c r="V313" s="137" t="s">
        <v>185</v>
      </c>
    </row>
    <row r="314" spans="1:22" ht="20.100000000000001" customHeight="1" x14ac:dyDescent="0.3">
      <c r="B314" s="198"/>
      <c r="F314" s="40"/>
      <c r="G314" s="100" t="s">
        <v>90</v>
      </c>
      <c r="H314" s="78"/>
      <c r="I314" s="78"/>
      <c r="J314" s="78"/>
      <c r="K314" s="78"/>
      <c r="L314" s="78"/>
      <c r="M314" s="78"/>
      <c r="N314" s="78"/>
      <c r="O314" s="139"/>
      <c r="P314" s="79"/>
      <c r="Q314" s="79"/>
      <c r="R314" s="45"/>
      <c r="S314" s="79"/>
      <c r="T314" s="80"/>
      <c r="U314" s="176"/>
      <c r="V314" s="177"/>
    </row>
    <row r="315" spans="1:22" ht="20.100000000000001" customHeight="1" thickBot="1" x14ac:dyDescent="0.35">
      <c r="A315" s="70"/>
      <c r="B315" s="188" t="s">
        <v>134</v>
      </c>
      <c r="F315" s="68" t="s">
        <v>170</v>
      </c>
      <c r="G315" s="55" t="str">
        <f>IF(P300+Q300=0,"gagnant H27",IF(P300&gt;Q300,G300,N300))</f>
        <v>CD 68-3</v>
      </c>
      <c r="H315" s="145">
        <v>24</v>
      </c>
      <c r="I315" s="145">
        <v>26</v>
      </c>
      <c r="J315" s="145">
        <v>12</v>
      </c>
      <c r="K315" s="145">
        <v>25</v>
      </c>
      <c r="L315" s="145"/>
      <c r="M315" s="145"/>
      <c r="N315" s="186" t="str">
        <f>IF(P302+Q302=0,"gagnant H28",IF(P302&gt;Q302,G302,N302))</f>
        <v>WEISSWASSER</v>
      </c>
      <c r="O315" s="187"/>
      <c r="P315" s="189">
        <f>IF(H315&gt;I315,1,0)+IF(J315&gt;K315,1,0)+IF(L315&gt;M315,1,0)</f>
        <v>0</v>
      </c>
      <c r="Q315" s="190">
        <f>IF(I315&gt;H315,1,0)+IF(K315&gt;J315,1,0)+IF(M315&gt;L315,1,0)</f>
        <v>2</v>
      </c>
      <c r="R315" s="191"/>
      <c r="S315" s="192">
        <f>H315+J315+L315</f>
        <v>36</v>
      </c>
      <c r="T315" s="193">
        <f>I315+K315+M315</f>
        <v>51</v>
      </c>
      <c r="U315" s="191" t="e">
        <f t="shared" ref="U315" si="127">J315+L315+N315</f>
        <v>#VALUE!</v>
      </c>
      <c r="V315" s="149" t="s">
        <v>186</v>
      </c>
    </row>
    <row r="316" spans="1:22" ht="5.0999999999999996" customHeight="1" thickBot="1" x14ac:dyDescent="0.35">
      <c r="A316" s="70"/>
      <c r="B316" s="70"/>
    </row>
    <row r="317" spans="1:22" ht="39.9" customHeight="1" x14ac:dyDescent="0.3">
      <c r="A317" s="70"/>
      <c r="B317" s="70"/>
      <c r="F317" s="2" t="s"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4"/>
    </row>
    <row r="318" spans="1:22" ht="39.9" customHeight="1" x14ac:dyDescent="0.3">
      <c r="B318" s="70"/>
      <c r="F318" s="6" t="s">
        <v>187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8"/>
    </row>
    <row r="319" spans="1:22" ht="30" customHeight="1" thickBot="1" x14ac:dyDescent="0.35">
      <c r="B319" s="70"/>
      <c r="F319" s="9" t="s">
        <v>128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1"/>
    </row>
    <row r="320" spans="1:22" ht="6.75" customHeight="1" thickBot="1" x14ac:dyDescent="0.35">
      <c r="B320" s="70"/>
    </row>
    <row r="321" spans="2:22" ht="20.100000000000001" customHeight="1" thickBot="1" x14ac:dyDescent="0.35">
      <c r="B321" s="70"/>
      <c r="F321" s="199"/>
      <c r="G321" s="151" t="s">
        <v>188</v>
      </c>
      <c r="H321" s="152"/>
      <c r="I321" s="152"/>
      <c r="J321" s="152"/>
      <c r="K321" s="152"/>
      <c r="L321" s="152"/>
      <c r="M321" s="152"/>
      <c r="N321" s="153"/>
      <c r="O321" s="22"/>
      <c r="P321" s="200"/>
      <c r="Q321" s="201"/>
      <c r="R321" s="201"/>
      <c r="S321" s="201"/>
      <c r="T321" s="201"/>
      <c r="U321" s="202"/>
      <c r="V321" s="203"/>
    </row>
    <row r="322" spans="2:22" ht="20.100000000000001" customHeight="1" x14ac:dyDescent="0.3">
      <c r="B322" s="107" t="s">
        <v>132</v>
      </c>
      <c r="F322" s="108" t="s">
        <v>4</v>
      </c>
      <c r="G322" s="109" t="s">
        <v>5</v>
      </c>
      <c r="H322" s="110"/>
      <c r="I322" s="110"/>
      <c r="J322" s="110"/>
      <c r="K322" s="110"/>
      <c r="L322" s="110"/>
      <c r="M322" s="110"/>
      <c r="N322" s="160"/>
      <c r="O322" s="161"/>
      <c r="P322" s="111" t="s">
        <v>6</v>
      </c>
      <c r="Q322" s="112"/>
      <c r="R322" s="20"/>
      <c r="S322" s="113" t="s">
        <v>7</v>
      </c>
      <c r="T322" s="114"/>
      <c r="U322" s="36"/>
      <c r="V322" s="204" t="s">
        <v>133</v>
      </c>
    </row>
    <row r="323" spans="2:22" ht="20.100000000000001" customHeight="1" x14ac:dyDescent="0.3">
      <c r="B323" s="205"/>
      <c r="F323" s="117"/>
      <c r="G323" s="28"/>
      <c r="H323" s="29" t="s">
        <v>17</v>
      </c>
      <c r="I323" s="118"/>
      <c r="J323" s="29" t="s">
        <v>18</v>
      </c>
      <c r="K323" s="118"/>
      <c r="L323" s="29" t="s">
        <v>19</v>
      </c>
      <c r="M323" s="118"/>
      <c r="N323" s="28"/>
      <c r="O323" s="31"/>
      <c r="P323" s="119"/>
      <c r="Q323" s="119"/>
      <c r="R323" s="34"/>
      <c r="S323" s="119"/>
      <c r="T323" s="120"/>
      <c r="U323" s="36"/>
      <c r="V323" s="37"/>
    </row>
    <row r="324" spans="2:22" ht="20.100000000000001" customHeight="1" x14ac:dyDescent="0.3">
      <c r="B324" s="130" t="s">
        <v>92</v>
      </c>
      <c r="F324" s="40" t="s">
        <v>159</v>
      </c>
      <c r="G324" s="77" t="str">
        <f>IF('[1]classement poule 2ème phase'!B138="","1ER POULE U",'[1]classement poule 2ème phase'!B138)</f>
        <v>CD 21</v>
      </c>
      <c r="H324" s="123">
        <v>23</v>
      </c>
      <c r="I324" s="123">
        <v>25</v>
      </c>
      <c r="J324" s="123">
        <v>22</v>
      </c>
      <c r="K324" s="123">
        <v>25</v>
      </c>
      <c r="L324" s="123"/>
      <c r="M324" s="123"/>
      <c r="N324" s="169" t="str">
        <f>IF('[1]classement poule 2ème phase'!B152="","1ER POULE W",'[1]classement poule 2ème phase'!B152)</f>
        <v>BIRKACH</v>
      </c>
      <c r="O324" s="170"/>
      <c r="P324" s="49">
        <f>IF(H324&gt;I324,1,0)+IF(J324&gt;K324,1,0)+IF(L324&gt;M324,1,0)</f>
        <v>0</v>
      </c>
      <c r="Q324" s="88">
        <f>IF(I324&gt;H324,1,0)+IF(K324&gt;J324,1,0)+IF(M324&gt;L324,1,0)</f>
        <v>2</v>
      </c>
      <c r="R324" s="45"/>
      <c r="S324" s="49">
        <f>H324+J324+L324</f>
        <v>45</v>
      </c>
      <c r="T324" s="91">
        <f>I324+K324+M324</f>
        <v>50</v>
      </c>
      <c r="U324" s="171"/>
      <c r="V324" s="124" t="s">
        <v>189</v>
      </c>
    </row>
    <row r="325" spans="2:22" ht="20.100000000000001" customHeight="1" x14ac:dyDescent="0.3">
      <c r="B325" s="125"/>
      <c r="F325" s="40"/>
      <c r="G325" s="173" t="s">
        <v>27</v>
      </c>
      <c r="H325" s="174"/>
      <c r="I325" s="174"/>
      <c r="J325" s="174"/>
      <c r="K325" s="174"/>
      <c r="L325" s="174"/>
      <c r="M325" s="174"/>
      <c r="N325" s="174"/>
      <c r="O325" s="31"/>
      <c r="P325" s="79"/>
      <c r="Q325" s="79"/>
      <c r="R325" s="45"/>
      <c r="S325" s="79"/>
      <c r="T325" s="80"/>
      <c r="U325" s="36"/>
      <c r="V325" s="175"/>
    </row>
    <row r="326" spans="2:22" ht="20.100000000000001" customHeight="1" thickBot="1" x14ac:dyDescent="0.35">
      <c r="B326" s="130" t="s">
        <v>92</v>
      </c>
      <c r="F326" s="40" t="s">
        <v>159</v>
      </c>
      <c r="G326" s="77" t="str">
        <f>IF('[1]classement poule 2ème phase'!B145="","1ER POULE V",'[1]classement poule 2ème phase'!B145)</f>
        <v>HÖCHST 2</v>
      </c>
      <c r="H326" s="123">
        <v>25</v>
      </c>
      <c r="I326" s="123">
        <v>11</v>
      </c>
      <c r="J326" s="123">
        <v>25</v>
      </c>
      <c r="K326" s="123">
        <v>19</v>
      </c>
      <c r="L326" s="123"/>
      <c r="M326" s="123"/>
      <c r="N326" s="169" t="str">
        <f>IF('[1]classement poule 2ème phase'!B159="","1ER POULE X",'[1]classement poule 2ème phase'!B159)</f>
        <v>NÜZIDERS</v>
      </c>
      <c r="O326" s="170"/>
      <c r="P326" s="49">
        <f>IF(H326&gt;I326,1,0)+IF(J326&gt;K326,1,0)+IF(L326&gt;M326,1,0)</f>
        <v>2</v>
      </c>
      <c r="Q326" s="88">
        <f>IF(I326&gt;H326,1,0)+IF(K326&gt;J326,1,0)+IF(M326&gt;L326,1,0)</f>
        <v>0</v>
      </c>
      <c r="R326" s="45"/>
      <c r="S326" s="49">
        <f>H326+J326+L326</f>
        <v>50</v>
      </c>
      <c r="T326" s="91">
        <f>I326+K326+M326</f>
        <v>30</v>
      </c>
      <c r="U326" s="171"/>
      <c r="V326" s="124" t="s">
        <v>190</v>
      </c>
    </row>
    <row r="327" spans="2:22" ht="20.100000000000001" customHeight="1" thickBot="1" x14ac:dyDescent="0.35">
      <c r="B327" s="206"/>
      <c r="F327" s="180"/>
      <c r="G327" s="151" t="s">
        <v>191</v>
      </c>
      <c r="H327" s="152"/>
      <c r="I327" s="152"/>
      <c r="J327" s="152"/>
      <c r="K327" s="152"/>
      <c r="L327" s="152"/>
      <c r="M327" s="152"/>
      <c r="N327" s="153"/>
      <c r="O327" s="154"/>
      <c r="P327" s="181"/>
      <c r="Q327" s="181"/>
      <c r="R327" s="45"/>
      <c r="S327" s="181"/>
      <c r="T327" s="182"/>
      <c r="U327" s="36"/>
      <c r="V327" s="179"/>
    </row>
    <row r="328" spans="2:22" ht="20.100000000000001" customHeight="1" x14ac:dyDescent="0.3">
      <c r="B328" s="207"/>
      <c r="F328" s="40"/>
      <c r="G328" s="100" t="s">
        <v>27</v>
      </c>
      <c r="H328" s="78"/>
      <c r="I328" s="78"/>
      <c r="J328" s="78"/>
      <c r="K328" s="78"/>
      <c r="L328" s="78"/>
      <c r="M328" s="78"/>
      <c r="N328" s="78"/>
      <c r="O328" s="139"/>
      <c r="P328" s="79"/>
      <c r="Q328" s="79"/>
      <c r="R328" s="45"/>
      <c r="S328" s="79"/>
      <c r="T328" s="80"/>
      <c r="U328" s="176"/>
      <c r="V328" s="177"/>
    </row>
    <row r="329" spans="2:22" ht="20.100000000000001" customHeight="1" x14ac:dyDescent="0.3">
      <c r="B329" s="130" t="s">
        <v>92</v>
      </c>
      <c r="F329" s="83" t="s">
        <v>166</v>
      </c>
      <c r="G329" s="41" t="str">
        <f>IF(P324+Q324=0,"perdant B1",IF(P324&lt;Q324,G324,N324))</f>
        <v>CD 21</v>
      </c>
      <c r="H329" s="123">
        <v>20</v>
      </c>
      <c r="I329" s="123">
        <v>25</v>
      </c>
      <c r="J329" s="123">
        <v>16</v>
      </c>
      <c r="K329" s="123">
        <v>25</v>
      </c>
      <c r="L329" s="123"/>
      <c r="M329" s="123"/>
      <c r="N329" s="178" t="str">
        <f>IF(P326+Q326=0,"perdant B2",IF(P326&lt;Q326,G326,N326))</f>
        <v>NÜZIDERS</v>
      </c>
      <c r="O329" s="154"/>
      <c r="P329" s="38">
        <f>IF(H329&gt;I329,1,0)+IF(J329&gt;K329,1,0)+IF(L329&gt;M329,1,0)</f>
        <v>0</v>
      </c>
      <c r="Q329" s="44">
        <f>IF(I329&gt;H329,1,0)+IF(K329&gt;J329,1,0)+IF(M329&gt;L329,1,0)</f>
        <v>2</v>
      </c>
      <c r="R329" s="45"/>
      <c r="S329" s="38">
        <f t="shared" ref="S329:T329" si="128">H329+J329+L329</f>
        <v>36</v>
      </c>
      <c r="T329" s="46">
        <f t="shared" si="128"/>
        <v>50</v>
      </c>
      <c r="U329" s="36"/>
      <c r="V329" s="137" t="s">
        <v>192</v>
      </c>
    </row>
    <row r="330" spans="2:22" ht="20.100000000000001" customHeight="1" x14ac:dyDescent="0.3">
      <c r="B330" s="125"/>
      <c r="F330" s="40"/>
      <c r="G330" s="100" t="s">
        <v>5</v>
      </c>
      <c r="H330" s="78"/>
      <c r="I330" s="78"/>
      <c r="J330" s="78"/>
      <c r="K330" s="78"/>
      <c r="L330" s="78"/>
      <c r="M330" s="78"/>
      <c r="N330" s="78"/>
      <c r="O330" s="139"/>
      <c r="P330" s="79"/>
      <c r="Q330" s="79"/>
      <c r="R330" s="45"/>
      <c r="S330" s="79"/>
      <c r="T330" s="80"/>
      <c r="U330" s="176"/>
      <c r="V330" s="177"/>
    </row>
    <row r="331" spans="2:22" ht="20.100000000000001" customHeight="1" thickBot="1" x14ac:dyDescent="0.35">
      <c r="B331" s="168" t="s">
        <v>92</v>
      </c>
      <c r="F331" s="68" t="s">
        <v>166</v>
      </c>
      <c r="G331" s="55" t="str">
        <f>IF(P324+Q324=0,"gagnant B1",IF(P324&gt;Q324,G324,N324))</f>
        <v>BIRKACH</v>
      </c>
      <c r="H331" s="145">
        <v>29</v>
      </c>
      <c r="I331" s="145">
        <v>27</v>
      </c>
      <c r="J331" s="145">
        <v>25</v>
      </c>
      <c r="K331" s="145">
        <v>8</v>
      </c>
      <c r="L331" s="145"/>
      <c r="M331" s="145"/>
      <c r="N331" s="186" t="str">
        <f>IF(P326+Q326=0,"gagnant B2",IF(P326&gt;Q326,G326,N326))</f>
        <v>HÖCHST 2</v>
      </c>
      <c r="O331" s="187"/>
      <c r="P331" s="189">
        <f>IF(H331&gt;I331,1,0)+IF(J331&gt;K331,1,0)+IF(L331&gt;M331,1,0)</f>
        <v>2</v>
      </c>
      <c r="Q331" s="190">
        <f>IF(I331&gt;H331,1,0)+IF(K331&gt;J331,1,0)+IF(M331&gt;L331,1,0)</f>
        <v>0</v>
      </c>
      <c r="R331" s="191"/>
      <c r="S331" s="192">
        <f>H331+J331+L331</f>
        <v>54</v>
      </c>
      <c r="T331" s="193">
        <f>I331+K331+M331</f>
        <v>35</v>
      </c>
      <c r="U331" s="191" t="e">
        <f t="shared" ref="U331" si="129">J331+L331+N331</f>
        <v>#VALUE!</v>
      </c>
      <c r="V331" s="149" t="s">
        <v>193</v>
      </c>
    </row>
    <row r="332" spans="2:22" ht="3" customHeight="1" thickBot="1" x14ac:dyDescent="0.35">
      <c r="B332" s="208"/>
      <c r="F332" s="209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1"/>
    </row>
    <row r="333" spans="2:22" ht="20.100000000000001" customHeight="1" thickBot="1" x14ac:dyDescent="0.35">
      <c r="B333" s="208"/>
      <c r="F333" s="150"/>
      <c r="G333" s="151" t="s">
        <v>194</v>
      </c>
      <c r="H333" s="152"/>
      <c r="I333" s="152"/>
      <c r="J333" s="152"/>
      <c r="K333" s="152"/>
      <c r="L333" s="152"/>
      <c r="M333" s="152"/>
      <c r="N333" s="153"/>
      <c r="O333" s="154"/>
      <c r="P333" s="155"/>
      <c r="Q333" s="156"/>
      <c r="R333" s="158"/>
      <c r="S333" s="158"/>
      <c r="T333" s="155"/>
      <c r="U333" s="36"/>
      <c r="V333" s="159"/>
    </row>
    <row r="334" spans="2:22" ht="20.100000000000001" customHeight="1" x14ac:dyDescent="0.3">
      <c r="B334" s="212"/>
      <c r="F334" s="108"/>
      <c r="G334" s="109" t="s">
        <v>58</v>
      </c>
      <c r="H334" s="110"/>
      <c r="I334" s="110"/>
      <c r="J334" s="110"/>
      <c r="K334" s="110"/>
      <c r="L334" s="110"/>
      <c r="M334" s="110"/>
      <c r="N334" s="160"/>
      <c r="O334" s="161"/>
      <c r="P334" s="162"/>
      <c r="Q334" s="163"/>
      <c r="R334" s="20"/>
      <c r="S334" s="164"/>
      <c r="T334" s="165"/>
      <c r="U334" s="166"/>
      <c r="V334" s="167"/>
    </row>
    <row r="335" spans="2:22" ht="20.100000000000001" customHeight="1" x14ac:dyDescent="0.3">
      <c r="B335" s="168" t="s">
        <v>92</v>
      </c>
      <c r="F335" s="40" t="s">
        <v>159</v>
      </c>
      <c r="G335" s="77" t="str">
        <f>IF('[1]classement poule 2ème phase'!B139="","2EME POULE U",'[1]classement poule 2ème phase'!B139)</f>
        <v>THIMISTER 3</v>
      </c>
      <c r="H335" s="123">
        <v>11</v>
      </c>
      <c r="I335" s="123">
        <v>25</v>
      </c>
      <c r="J335" s="123">
        <v>17</v>
      </c>
      <c r="K335" s="123">
        <v>25</v>
      </c>
      <c r="L335" s="123"/>
      <c r="M335" s="123"/>
      <c r="N335" s="169" t="str">
        <f>IF('[1]classement poule 2ème phase'!B153="","2EME POULE W",'[1]classement poule 2ème phase'!B153)</f>
        <v>THIMISTER 2</v>
      </c>
      <c r="O335" s="170"/>
      <c r="P335" s="49">
        <f>IF(H335&gt;I335,1,0)+IF(J335&gt;K335,1,0)+IF(L335&gt;M335,1,0)</f>
        <v>0</v>
      </c>
      <c r="Q335" s="88">
        <f>IF(I335&gt;H335,1,0)+IF(K335&gt;J335,1,0)+IF(M335&gt;L335,1,0)</f>
        <v>2</v>
      </c>
      <c r="R335" s="45"/>
      <c r="S335" s="49">
        <f>H335+J335+L335</f>
        <v>28</v>
      </c>
      <c r="T335" s="91">
        <f>I335+K335+M335</f>
        <v>50</v>
      </c>
      <c r="U335" s="171"/>
      <c r="V335" s="124" t="s">
        <v>195</v>
      </c>
    </row>
    <row r="336" spans="2:22" ht="20.100000000000001" customHeight="1" x14ac:dyDescent="0.3">
      <c r="B336" s="172"/>
      <c r="F336" s="40"/>
      <c r="G336" s="173" t="s">
        <v>64</v>
      </c>
      <c r="H336" s="174"/>
      <c r="I336" s="174"/>
      <c r="J336" s="174"/>
      <c r="K336" s="174"/>
      <c r="L336" s="174"/>
      <c r="M336" s="174"/>
      <c r="N336" s="174"/>
      <c r="O336" s="31"/>
      <c r="P336" s="79"/>
      <c r="Q336" s="79"/>
      <c r="R336" s="45"/>
      <c r="S336" s="79"/>
      <c r="T336" s="80"/>
      <c r="U336" s="36"/>
      <c r="V336" s="175"/>
    </row>
    <row r="337" spans="2:22" ht="20.100000000000001" customHeight="1" thickBot="1" x14ac:dyDescent="0.35">
      <c r="B337" s="168" t="s">
        <v>92</v>
      </c>
      <c r="F337" s="40" t="s">
        <v>159</v>
      </c>
      <c r="G337" s="77" t="str">
        <f>IF('[1]classement poule 2ème phase'!B146="","2EME POULE V",'[1]classement poule 2ème phase'!B146)</f>
        <v>DORNBIRN 2</v>
      </c>
      <c r="H337" s="123">
        <v>25</v>
      </c>
      <c r="I337" s="123">
        <v>15</v>
      </c>
      <c r="J337" s="123">
        <v>25</v>
      </c>
      <c r="K337" s="123">
        <v>11</v>
      </c>
      <c r="L337" s="123"/>
      <c r="M337" s="123"/>
      <c r="N337" s="169" t="str">
        <f>IF('[1]classement poule 2ème phase'!B160="","2EME POULE X",'[1]classement poule 2ème phase'!B160)</f>
        <v>MAIZIERES LES METZ</v>
      </c>
      <c r="O337" s="170"/>
      <c r="P337" s="49">
        <f>IF(H337&gt;I337,1,0)+IF(J337&gt;K337,1,0)+IF(L337&gt;M337,1,0)</f>
        <v>2</v>
      </c>
      <c r="Q337" s="88">
        <f>IF(I337&gt;H337,1,0)+IF(K337&gt;J337,1,0)+IF(M337&gt;L337,1,0)</f>
        <v>0</v>
      </c>
      <c r="R337" s="45"/>
      <c r="S337" s="49">
        <f>H337+J337+L337</f>
        <v>50</v>
      </c>
      <c r="T337" s="91">
        <f>I337+K337+M337</f>
        <v>26</v>
      </c>
      <c r="U337" s="171"/>
      <c r="V337" s="124" t="s">
        <v>196</v>
      </c>
    </row>
    <row r="338" spans="2:22" ht="20.100000000000001" customHeight="1" thickBot="1" x14ac:dyDescent="0.35">
      <c r="B338" s="172"/>
      <c r="F338" s="180"/>
      <c r="G338" s="151" t="s">
        <v>197</v>
      </c>
      <c r="H338" s="152"/>
      <c r="I338" s="152"/>
      <c r="J338" s="152"/>
      <c r="K338" s="152"/>
      <c r="L338" s="152"/>
      <c r="M338" s="152"/>
      <c r="N338" s="153"/>
      <c r="O338" s="154"/>
      <c r="P338" s="181"/>
      <c r="Q338" s="181"/>
      <c r="R338" s="45"/>
      <c r="S338" s="181"/>
      <c r="T338" s="182"/>
      <c r="U338" s="36"/>
      <c r="V338" s="179"/>
    </row>
    <row r="339" spans="2:22" ht="20.100000000000001" customHeight="1" x14ac:dyDescent="0.3">
      <c r="B339" s="208"/>
      <c r="F339" s="40"/>
      <c r="G339" s="100" t="s">
        <v>64</v>
      </c>
      <c r="H339" s="78"/>
      <c r="I339" s="78"/>
      <c r="J339" s="78"/>
      <c r="K339" s="78"/>
      <c r="L339" s="78"/>
      <c r="M339" s="78"/>
      <c r="N339" s="78"/>
      <c r="O339" s="139"/>
      <c r="P339" s="79"/>
      <c r="Q339" s="79"/>
      <c r="R339" s="45"/>
      <c r="S339" s="79"/>
      <c r="T339" s="80"/>
      <c r="U339" s="176"/>
      <c r="V339" s="177"/>
    </row>
    <row r="340" spans="2:22" ht="20.100000000000001" customHeight="1" x14ac:dyDescent="0.3">
      <c r="B340" s="168" t="s">
        <v>92</v>
      </c>
      <c r="F340" s="83" t="s">
        <v>166</v>
      </c>
      <c r="G340" s="41" t="str">
        <f>IF(P335+Q335=0,"perdant B3",IF(P335&lt;Q335,G335,N335))</f>
        <v>THIMISTER 3</v>
      </c>
      <c r="H340" s="123">
        <v>8</v>
      </c>
      <c r="I340" s="123">
        <v>25</v>
      </c>
      <c r="J340" s="123">
        <v>25</v>
      </c>
      <c r="K340" s="123">
        <v>22</v>
      </c>
      <c r="L340" s="123">
        <v>3</v>
      </c>
      <c r="M340" s="123">
        <v>15</v>
      </c>
      <c r="N340" s="178" t="str">
        <f>IF(P337+Q337=0,"perdant B4",IF(P337&lt;Q337,G337,N337))</f>
        <v>MAIZIERES LES METZ</v>
      </c>
      <c r="O340" s="154"/>
      <c r="P340" s="38">
        <f>IF(H340&gt;I340,1,0)+IF(J340&gt;K340,1,0)+IF(L340&gt;M340,1,0)</f>
        <v>1</v>
      </c>
      <c r="Q340" s="44">
        <f>IF(I340&gt;H340,1,0)+IF(K340&gt;J340,1,0)+IF(M340&gt;L340,1,0)</f>
        <v>2</v>
      </c>
      <c r="R340" s="45"/>
      <c r="S340" s="38">
        <f t="shared" ref="S340:T340" si="130">H340+J340+L340</f>
        <v>36</v>
      </c>
      <c r="T340" s="46">
        <f t="shared" si="130"/>
        <v>62</v>
      </c>
      <c r="U340" s="36"/>
      <c r="V340" s="137" t="s">
        <v>198</v>
      </c>
    </row>
    <row r="341" spans="2:22" ht="20.100000000000001" customHeight="1" x14ac:dyDescent="0.3">
      <c r="B341" s="172"/>
      <c r="F341" s="40"/>
      <c r="G341" s="100" t="s">
        <v>58</v>
      </c>
      <c r="H341" s="78"/>
      <c r="I341" s="78"/>
      <c r="J341" s="78"/>
      <c r="K341" s="78"/>
      <c r="L341" s="78"/>
      <c r="M341" s="78"/>
      <c r="N341" s="78"/>
      <c r="O341" s="139"/>
      <c r="P341" s="79"/>
      <c r="Q341" s="79"/>
      <c r="R341" s="45"/>
      <c r="S341" s="79"/>
      <c r="T341" s="80"/>
      <c r="U341" s="176"/>
      <c r="V341" s="177"/>
    </row>
    <row r="342" spans="2:22" ht="20.100000000000001" customHeight="1" thickBot="1" x14ac:dyDescent="0.35">
      <c r="B342" s="213" t="s">
        <v>92</v>
      </c>
      <c r="F342" s="68" t="s">
        <v>170</v>
      </c>
      <c r="G342" s="55" t="str">
        <f>IF(P335+Q335=0,"gagnant B3",IF(P335&gt;Q335,G335,N335))</f>
        <v>THIMISTER 2</v>
      </c>
      <c r="H342" s="145">
        <v>28</v>
      </c>
      <c r="I342" s="145">
        <v>30</v>
      </c>
      <c r="J342" s="145">
        <v>15</v>
      </c>
      <c r="K342" s="145">
        <v>25</v>
      </c>
      <c r="L342" s="145"/>
      <c r="M342" s="145"/>
      <c r="N342" s="186" t="str">
        <f>IF(P337+Q337=0,"gagnant B4",IF(P337&gt;Q337,G337,N337))</f>
        <v>DORNBIRN 2</v>
      </c>
      <c r="O342" s="187"/>
      <c r="P342" s="189">
        <f>IF(H342&gt;I342,1,0)+IF(J342&gt;K342,1,0)+IF(L342&gt;M342,1,0)</f>
        <v>0</v>
      </c>
      <c r="Q342" s="190">
        <f>IF(I342&gt;H342,1,0)+IF(K342&gt;J342,1,0)+IF(M342&gt;L342,1,0)</f>
        <v>2</v>
      </c>
      <c r="R342" s="191"/>
      <c r="S342" s="192">
        <f>H342+J342+L342</f>
        <v>43</v>
      </c>
      <c r="T342" s="193">
        <f>I342+K342+M342</f>
        <v>55</v>
      </c>
      <c r="U342" s="191" t="e">
        <f t="shared" ref="U342" si="131">J342+L342+N342</f>
        <v>#VALUE!</v>
      </c>
      <c r="V342" s="149" t="s">
        <v>199</v>
      </c>
    </row>
    <row r="343" spans="2:22" ht="5.0999999999999996" customHeight="1" thickBot="1" x14ac:dyDescent="0.35">
      <c r="B343" s="214"/>
      <c r="F343" s="71"/>
      <c r="G343" s="72"/>
      <c r="H343" s="69"/>
      <c r="I343" s="69"/>
      <c r="J343" s="69"/>
      <c r="K343" s="69"/>
      <c r="L343" s="69"/>
      <c r="M343" s="69"/>
      <c r="N343" s="72"/>
      <c r="O343" s="71"/>
      <c r="P343" s="69"/>
      <c r="Q343" s="69"/>
      <c r="R343" s="69"/>
      <c r="S343" s="69"/>
      <c r="T343" s="69"/>
      <c r="U343" s="69"/>
      <c r="V343" s="215"/>
    </row>
    <row r="344" spans="2:22" ht="39.9" customHeight="1" x14ac:dyDescent="0.3">
      <c r="B344" s="214"/>
      <c r="F344" s="2" t="s">
        <v>0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4"/>
      <c r="U344" s="69"/>
      <c r="V344" s="215"/>
    </row>
    <row r="345" spans="2:22" ht="39.9" customHeight="1" x14ac:dyDescent="0.3">
      <c r="B345" s="214"/>
      <c r="F345" s="6" t="s">
        <v>200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8"/>
      <c r="U345" s="69"/>
      <c r="V345" s="215"/>
    </row>
    <row r="346" spans="2:22" ht="30" customHeight="1" thickBot="1" x14ac:dyDescent="0.35">
      <c r="B346" s="214"/>
      <c r="F346" s="9" t="s">
        <v>128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1"/>
      <c r="U346" s="69"/>
      <c r="V346" s="215"/>
    </row>
    <row r="347" spans="2:22" ht="20.100000000000001" customHeight="1" thickBot="1" x14ac:dyDescent="0.35">
      <c r="B347" s="214"/>
      <c r="F347" s="71"/>
      <c r="G347" s="72"/>
      <c r="H347" s="69"/>
      <c r="I347" s="69"/>
      <c r="J347" s="69"/>
      <c r="K347" s="69"/>
      <c r="L347" s="69"/>
      <c r="M347" s="69"/>
      <c r="N347" s="72"/>
      <c r="O347" s="71"/>
      <c r="P347" s="69"/>
      <c r="Q347" s="69"/>
      <c r="R347" s="69"/>
      <c r="S347" s="69"/>
      <c r="T347" s="69"/>
      <c r="U347" s="69"/>
      <c r="V347" s="215"/>
    </row>
    <row r="348" spans="2:22" ht="20.100000000000001" customHeight="1" thickBot="1" x14ac:dyDescent="0.35">
      <c r="B348" s="216"/>
      <c r="F348" s="199"/>
      <c r="G348" s="151" t="s">
        <v>201</v>
      </c>
      <c r="H348" s="152"/>
      <c r="I348" s="152"/>
      <c r="J348" s="152"/>
      <c r="K348" s="152"/>
      <c r="L348" s="152"/>
      <c r="M348" s="152"/>
      <c r="N348" s="153"/>
      <c r="O348" s="22"/>
      <c r="P348" s="201"/>
      <c r="Q348" s="201"/>
      <c r="R348" s="201"/>
      <c r="S348" s="201"/>
      <c r="T348" s="201"/>
      <c r="U348" s="202"/>
      <c r="V348" s="203"/>
    </row>
    <row r="349" spans="2:22" ht="20.100000000000001" customHeight="1" x14ac:dyDescent="0.3">
      <c r="B349" s="107" t="s">
        <v>132</v>
      </c>
      <c r="F349" s="108" t="s">
        <v>4</v>
      </c>
      <c r="G349" s="109" t="s">
        <v>58</v>
      </c>
      <c r="H349" s="110"/>
      <c r="I349" s="110"/>
      <c r="J349" s="110"/>
      <c r="K349" s="110"/>
      <c r="L349" s="110"/>
      <c r="M349" s="110"/>
      <c r="N349" s="160"/>
      <c r="O349" s="161"/>
      <c r="P349" s="111" t="s">
        <v>6</v>
      </c>
      <c r="Q349" s="112"/>
      <c r="R349" s="20"/>
      <c r="S349" s="111" t="s">
        <v>7</v>
      </c>
      <c r="T349" s="217"/>
      <c r="U349" s="36"/>
      <c r="V349" s="204" t="s">
        <v>133</v>
      </c>
    </row>
    <row r="350" spans="2:22" ht="20.100000000000001" customHeight="1" x14ac:dyDescent="0.3">
      <c r="B350" s="205"/>
      <c r="F350" s="117"/>
      <c r="G350" s="28"/>
      <c r="H350" s="29" t="s">
        <v>17</v>
      </c>
      <c r="I350" s="118"/>
      <c r="J350" s="29" t="s">
        <v>18</v>
      </c>
      <c r="K350" s="118"/>
      <c r="L350" s="29" t="s">
        <v>19</v>
      </c>
      <c r="M350" s="118"/>
      <c r="N350" s="28"/>
      <c r="O350" s="31"/>
      <c r="P350" s="218"/>
      <c r="Q350" s="218"/>
      <c r="R350" s="93"/>
      <c r="S350" s="218"/>
      <c r="T350" s="219"/>
      <c r="U350" s="166"/>
      <c r="V350" s="37"/>
    </row>
    <row r="351" spans="2:22" ht="20.100000000000001" customHeight="1" x14ac:dyDescent="0.3">
      <c r="B351" s="130" t="str">
        <f>G335</f>
        <v>THIMISTER 3</v>
      </c>
      <c r="F351" s="40" t="s">
        <v>135</v>
      </c>
      <c r="G351" s="77" t="str">
        <f>IF('[1]classement poule 2ème phase'!B140="","3EME POULE U",'[1]classement poule 2ème phase'!B140)</f>
        <v>CD 71-1</v>
      </c>
      <c r="H351" s="123">
        <v>23</v>
      </c>
      <c r="I351" s="123">
        <v>25</v>
      </c>
      <c r="J351" s="123">
        <v>17</v>
      </c>
      <c r="K351" s="123">
        <v>25</v>
      </c>
      <c r="L351" s="123"/>
      <c r="M351" s="123"/>
      <c r="N351" s="169" t="str">
        <f>IF('[1]classement poule 2ème phase'!B154="","3EME POULE W",'[1]classement poule 2ème phase'!B154)</f>
        <v>BELFORT</v>
      </c>
      <c r="O351" s="170"/>
      <c r="P351" s="49">
        <f>IF(H351&gt;I351,1,0)+IF(J351&gt;K351,1,0)+IF(L351&gt;M351,1,0)</f>
        <v>0</v>
      </c>
      <c r="Q351" s="88">
        <f>IF(I351&gt;H351,1,0)+IF(K351&gt;J351,1,0)+IF(M351&gt;L351,1,0)</f>
        <v>2</v>
      </c>
      <c r="R351" s="45"/>
      <c r="S351" s="49">
        <f>H351+J351+L351</f>
        <v>40</v>
      </c>
      <c r="T351" s="91">
        <f>I351+K351+M351</f>
        <v>50</v>
      </c>
      <c r="U351" s="171"/>
      <c r="V351" s="124" t="s">
        <v>202</v>
      </c>
    </row>
    <row r="352" spans="2:22" ht="20.100000000000001" customHeight="1" x14ac:dyDescent="0.3">
      <c r="B352" s="125"/>
      <c r="F352" s="40"/>
      <c r="G352" s="173" t="s">
        <v>64</v>
      </c>
      <c r="H352" s="174"/>
      <c r="I352" s="174"/>
      <c r="J352" s="174"/>
      <c r="K352" s="174"/>
      <c r="L352" s="174"/>
      <c r="M352" s="174"/>
      <c r="N352" s="174"/>
      <c r="O352" s="31"/>
      <c r="P352" s="79"/>
      <c r="Q352" s="79"/>
      <c r="R352" s="45"/>
      <c r="S352" s="79"/>
      <c r="T352" s="80"/>
      <c r="U352" s="36"/>
      <c r="V352" s="175"/>
    </row>
    <row r="353" spans="2:22" ht="20.100000000000001" customHeight="1" thickBot="1" x14ac:dyDescent="0.35">
      <c r="B353" s="130" t="str">
        <f>G337</f>
        <v>DORNBIRN 2</v>
      </c>
      <c r="F353" s="40" t="s">
        <v>135</v>
      </c>
      <c r="G353" s="77" t="str">
        <f>IF('[1]classement poule 2ème phase'!B147="","3EME POULE V",'[1]classement poule 2ème phase'!B147)</f>
        <v>CD 67</v>
      </c>
      <c r="H353" s="123">
        <v>25</v>
      </c>
      <c r="I353" s="123">
        <v>7</v>
      </c>
      <c r="J353" s="123">
        <v>25</v>
      </c>
      <c r="K353" s="123">
        <v>16</v>
      </c>
      <c r="L353" s="123"/>
      <c r="M353" s="123"/>
      <c r="N353" s="169" t="str">
        <f>IF('[1]classement poule 2ème phase'!B161="","3EME POULE X",'[1]classement poule 2ème phase'!B161)</f>
        <v>LA LOUVIERE</v>
      </c>
      <c r="O353" s="170"/>
      <c r="P353" s="49">
        <f>IF(H353&gt;I353,1,0)+IF(J353&gt;K353,1,0)+IF(L353&gt;M353,1,0)</f>
        <v>2</v>
      </c>
      <c r="Q353" s="88">
        <f>IF(I353&gt;H353,1,0)+IF(K353&gt;J353,1,0)+IF(M353&gt;L353,1,0)</f>
        <v>0</v>
      </c>
      <c r="R353" s="45"/>
      <c r="S353" s="49">
        <f>H353+J353+L353</f>
        <v>50</v>
      </c>
      <c r="T353" s="91">
        <f>I353+K353+M353</f>
        <v>23</v>
      </c>
      <c r="U353" s="171"/>
      <c r="V353" s="124" t="s">
        <v>203</v>
      </c>
    </row>
    <row r="354" spans="2:22" ht="20.100000000000001" customHeight="1" thickBot="1" x14ac:dyDescent="0.35">
      <c r="B354" s="206"/>
      <c r="F354" s="180"/>
      <c r="G354" s="151" t="s">
        <v>204</v>
      </c>
      <c r="H354" s="152"/>
      <c r="I354" s="152"/>
      <c r="J354" s="152"/>
      <c r="K354" s="152"/>
      <c r="L354" s="152"/>
      <c r="M354" s="152"/>
      <c r="N354" s="153"/>
      <c r="O354" s="154"/>
      <c r="P354" s="181"/>
      <c r="Q354" s="181"/>
      <c r="R354" s="45"/>
      <c r="S354" s="181"/>
      <c r="T354" s="182"/>
      <c r="U354" s="36"/>
      <c r="V354" s="179"/>
    </row>
    <row r="355" spans="2:22" ht="20.100000000000001" hidden="1" customHeight="1" x14ac:dyDescent="0.3">
      <c r="B355" s="220"/>
      <c r="F355" s="221" t="s">
        <v>205</v>
      </c>
      <c r="G355" s="222" t="str">
        <f>$N$353</f>
        <v>LA LOUVIERE</v>
      </c>
      <c r="H355" s="223" t="s">
        <v>206</v>
      </c>
      <c r="I355" s="223"/>
      <c r="J355" s="224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25"/>
    </row>
    <row r="356" spans="2:22" ht="20.100000000000001" hidden="1" customHeight="1" x14ac:dyDescent="0.3">
      <c r="B356" s="208"/>
      <c r="F356" s="40"/>
      <c r="G356" s="98" t="s">
        <v>64</v>
      </c>
      <c r="H356" s="99"/>
      <c r="I356" s="99"/>
      <c r="J356" s="99"/>
      <c r="K356" s="99"/>
      <c r="L356" s="99"/>
      <c r="M356" s="99"/>
      <c r="N356" s="100"/>
      <c r="O356" s="139"/>
      <c r="P356" s="79"/>
      <c r="Q356" s="79"/>
      <c r="R356" s="45"/>
      <c r="S356" s="79"/>
      <c r="T356" s="80"/>
      <c r="U356" s="176"/>
      <c r="V356" s="177"/>
    </row>
    <row r="357" spans="2:22" ht="20.100000000000001" hidden="1" customHeight="1" x14ac:dyDescent="0.3">
      <c r="B357" s="130" t="str">
        <f>N361</f>
        <v>CD 67</v>
      </c>
      <c r="F357" s="83" t="s">
        <v>207</v>
      </c>
      <c r="G357" s="131" t="str">
        <f>IF(P351+Q351=0,"gagnant B5",IF(P351&gt;Q351,G351,N351))</f>
        <v>BELFORT</v>
      </c>
      <c r="H357" s="132"/>
      <c r="I357" s="132"/>
      <c r="J357" s="132"/>
      <c r="K357" s="132"/>
      <c r="L357" s="132"/>
      <c r="M357" s="132"/>
      <c r="N357" s="194" t="str">
        <f>IF('[1]classement poule 2ème phase'!B162="","4EME POULE X",'[1]classement poule 2ème phase'!B162)</f>
        <v>CD 71-2</v>
      </c>
      <c r="O357" s="154"/>
      <c r="P357" s="226">
        <f>IF(H357&gt;I357,1,0)+IF(J357&gt;K357,1,0)+IF(L357&gt;M357,1,0)</f>
        <v>0</v>
      </c>
      <c r="Q357" s="227">
        <f>IF(I357&gt;H357,1,0)+IF(K357&gt;J357,1,0)+IF(M357&gt;L357,1,0)</f>
        <v>0</v>
      </c>
      <c r="R357" s="228"/>
      <c r="S357" s="229">
        <f>H357+J357+L357</f>
        <v>0</v>
      </c>
      <c r="T357" s="230">
        <f>I357+K357+M357</f>
        <v>0</v>
      </c>
      <c r="U357" s="228" t="e">
        <f t="shared" ref="U357" si="132">J357+L357+N357</f>
        <v>#VALUE!</v>
      </c>
      <c r="V357" s="137" t="s">
        <v>208</v>
      </c>
    </row>
    <row r="358" spans="2:22" ht="20.100000000000001" hidden="1" customHeight="1" x14ac:dyDescent="0.3">
      <c r="B358" s="208"/>
      <c r="F358" s="40"/>
      <c r="G358" s="98" t="s">
        <v>70</v>
      </c>
      <c r="H358" s="99"/>
      <c r="I358" s="99"/>
      <c r="J358" s="99"/>
      <c r="K358" s="99"/>
      <c r="L358" s="99"/>
      <c r="M358" s="99"/>
      <c r="N358" s="100"/>
      <c r="O358" s="139"/>
      <c r="P358" s="79"/>
      <c r="Q358" s="79"/>
      <c r="R358" s="45"/>
      <c r="S358" s="79"/>
      <c r="T358" s="80"/>
      <c r="U358" s="176"/>
      <c r="V358" s="177"/>
    </row>
    <row r="359" spans="2:22" ht="20.100000000000001" hidden="1" customHeight="1" x14ac:dyDescent="0.3">
      <c r="B359" s="168" t="s">
        <v>92</v>
      </c>
      <c r="F359" s="83" t="s">
        <v>166</v>
      </c>
      <c r="G359" s="41" t="str">
        <f>IF(P351+Q351=0,"perdant B5",IF(P351&lt;Q351,G351,N351))</f>
        <v>CD 71-1</v>
      </c>
      <c r="H359" s="123"/>
      <c r="I359" s="123"/>
      <c r="J359" s="123"/>
      <c r="K359" s="123"/>
      <c r="L359" s="123"/>
      <c r="M359" s="123"/>
      <c r="N359" s="178" t="str">
        <f>IF(P353+Q353=0,"perdant B6",IF(P353&lt;Q353,G353,N353))</f>
        <v>LA LOUVIERE</v>
      </c>
      <c r="O359" s="154"/>
      <c r="P359" s="38">
        <f>IF(H359&gt;I359,1,0)+IF(J359&gt;K359,1,0)+IF(L359&gt;M359,1,0)</f>
        <v>0</v>
      </c>
      <c r="Q359" s="44">
        <f>IF(I359&gt;H359,1,0)+IF(K359&gt;J359,1,0)+IF(M359&gt;L359,1,0)</f>
        <v>0</v>
      </c>
      <c r="R359" s="45"/>
      <c r="S359" s="38">
        <f t="shared" ref="S359:T359" si="133">H359+J359+L359</f>
        <v>0</v>
      </c>
      <c r="T359" s="46">
        <f t="shared" si="133"/>
        <v>0</v>
      </c>
      <c r="U359" s="36"/>
      <c r="V359" s="137" t="s">
        <v>209</v>
      </c>
    </row>
    <row r="360" spans="2:22" ht="20.100000000000001" hidden="1" customHeight="1" x14ac:dyDescent="0.3">
      <c r="B360" s="208"/>
      <c r="F360" s="40"/>
      <c r="G360" s="98" t="s">
        <v>70</v>
      </c>
      <c r="H360" s="99"/>
      <c r="I360" s="99"/>
      <c r="J360" s="99"/>
      <c r="K360" s="99"/>
      <c r="L360" s="99"/>
      <c r="M360" s="99"/>
      <c r="N360" s="100"/>
      <c r="O360" s="139"/>
      <c r="P360" s="79"/>
      <c r="Q360" s="79"/>
      <c r="R360" s="45"/>
      <c r="S360" s="79"/>
      <c r="T360" s="80"/>
      <c r="U360" s="176"/>
      <c r="V360" s="177"/>
    </row>
    <row r="361" spans="2:22" ht="20.100000000000001" hidden="1" customHeight="1" thickBot="1" x14ac:dyDescent="0.35">
      <c r="B361" s="168" t="str">
        <f>N357</f>
        <v>CD 71-2</v>
      </c>
      <c r="F361" s="68" t="s">
        <v>210</v>
      </c>
      <c r="G361" s="55" t="str">
        <f>IF(P351+Q351=0,"gagnant B5",IF(P351&gt;Q351,G351,N351))</f>
        <v>BELFORT</v>
      </c>
      <c r="H361" s="145"/>
      <c r="I361" s="145"/>
      <c r="J361" s="145"/>
      <c r="K361" s="145"/>
      <c r="L361" s="145"/>
      <c r="M361" s="145"/>
      <c r="N361" s="186" t="str">
        <f>IF(P353+Q353=0,"gagnant B6",IF(P353&gt;Q353,G353,N353))</f>
        <v>CD 67</v>
      </c>
      <c r="O361" s="187"/>
      <c r="P361" s="189">
        <f>IF(H361&gt;I361,1,0)+IF(J361&gt;K361,1,0)+IF(L361&gt;M361,1,0)</f>
        <v>0</v>
      </c>
      <c r="Q361" s="190">
        <f>IF(I361&gt;H361,1,0)+IF(K361&gt;J361,1,0)+IF(M361&gt;L361,1,0)</f>
        <v>0</v>
      </c>
      <c r="R361" s="191"/>
      <c r="S361" s="192">
        <f>H361+J361+L361</f>
        <v>0</v>
      </c>
      <c r="T361" s="193">
        <f>I361+K361+M361</f>
        <v>0</v>
      </c>
      <c r="U361" s="191" t="e">
        <f t="shared" ref="U361" si="134">J361+L361+N361</f>
        <v>#VALUE!</v>
      </c>
      <c r="V361" s="149" t="s">
        <v>208</v>
      </c>
    </row>
    <row r="362" spans="2:22" ht="20.100000000000001" hidden="1" customHeight="1" thickBot="1" x14ac:dyDescent="0.35">
      <c r="B362" s="208"/>
      <c r="F362" s="231" t="s">
        <v>211</v>
      </c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25"/>
    </row>
    <row r="363" spans="2:22" ht="20.100000000000001" hidden="1" customHeight="1" x14ac:dyDescent="0.3">
      <c r="B363" s="172"/>
      <c r="F363" s="232" t="s">
        <v>205</v>
      </c>
      <c r="G363" s="233" t="str">
        <f>$N$353</f>
        <v>LA LOUVIERE</v>
      </c>
      <c r="H363" s="234" t="s">
        <v>212</v>
      </c>
      <c r="I363" s="234"/>
      <c r="J363" s="235"/>
      <c r="K363" s="236"/>
      <c r="L363" s="236"/>
      <c r="M363" s="236"/>
      <c r="N363" s="236"/>
      <c r="O363" s="236"/>
      <c r="P363" s="236"/>
      <c r="Q363" s="236"/>
      <c r="R363" s="236"/>
      <c r="S363" s="236"/>
      <c r="T363" s="236"/>
      <c r="U363" s="236"/>
      <c r="V363" s="237"/>
    </row>
    <row r="364" spans="2:22" ht="20.100000000000001" hidden="1" customHeight="1" x14ac:dyDescent="0.3">
      <c r="B364" s="208"/>
      <c r="F364" s="40"/>
      <c r="G364" s="98" t="s">
        <v>64</v>
      </c>
      <c r="H364" s="99"/>
      <c r="I364" s="99"/>
      <c r="J364" s="99"/>
      <c r="K364" s="99"/>
      <c r="L364" s="99"/>
      <c r="M364" s="99"/>
      <c r="N364" s="100"/>
      <c r="O364" s="139"/>
      <c r="P364" s="79"/>
      <c r="Q364" s="79"/>
      <c r="R364" s="45"/>
      <c r="S364" s="79"/>
      <c r="T364" s="80"/>
      <c r="U364" s="176"/>
      <c r="V364" s="177"/>
    </row>
    <row r="365" spans="2:22" ht="20.100000000000001" hidden="1" customHeight="1" x14ac:dyDescent="0.3">
      <c r="B365" s="168" t="str">
        <f>N369</f>
        <v>LA LOUVIERE</v>
      </c>
      <c r="F365" s="83" t="s">
        <v>141</v>
      </c>
      <c r="G365" s="41" t="str">
        <f>IF(P351+Q351=0,"perdant B5",IF(P351&lt;Q351,G351,N351))</f>
        <v>CD 71-1</v>
      </c>
      <c r="H365" s="123"/>
      <c r="I365" s="123"/>
      <c r="J365" s="123"/>
      <c r="K365" s="123"/>
      <c r="L365" s="123"/>
      <c r="M365" s="123"/>
      <c r="N365" s="178" t="str">
        <f>IF('[1]classement poule 2ème phase'!B162="","4EME POULE X",'[1]classement poule 2ème phase'!B162)</f>
        <v>CD 71-2</v>
      </c>
      <c r="O365" s="154"/>
      <c r="P365" s="38">
        <f>IF(H365&gt;I365,1,0)+IF(J365&gt;K365,1,0)+IF(L365&gt;M365,1,0)</f>
        <v>0</v>
      </c>
      <c r="Q365" s="44">
        <f>IF(I365&gt;H365,1,0)+IF(K365&gt;J365,1,0)+IF(M365&gt;L365,1,0)</f>
        <v>0</v>
      </c>
      <c r="R365" s="45"/>
      <c r="S365" s="38">
        <f t="shared" ref="S365:T365" si="135">H365+J365+L365</f>
        <v>0</v>
      </c>
      <c r="T365" s="46">
        <f t="shared" si="135"/>
        <v>0</v>
      </c>
      <c r="U365" s="36"/>
      <c r="V365" s="137" t="s">
        <v>213</v>
      </c>
    </row>
    <row r="366" spans="2:22" ht="20.100000000000001" hidden="1" customHeight="1" x14ac:dyDescent="0.3">
      <c r="B366" s="208"/>
      <c r="F366" s="40"/>
      <c r="G366" s="98" t="s">
        <v>70</v>
      </c>
      <c r="H366" s="99"/>
      <c r="I366" s="99"/>
      <c r="J366" s="99"/>
      <c r="K366" s="99"/>
      <c r="L366" s="99"/>
      <c r="M366" s="99"/>
      <c r="N366" s="100"/>
      <c r="O366" s="139"/>
      <c r="P366" s="79"/>
      <c r="Q366" s="79"/>
      <c r="R366" s="45"/>
      <c r="S366" s="79"/>
      <c r="T366" s="80"/>
      <c r="U366" s="176"/>
      <c r="V366" s="177"/>
    </row>
    <row r="367" spans="2:22" ht="20.100000000000001" hidden="1" customHeight="1" x14ac:dyDescent="0.3">
      <c r="B367" s="168" t="s">
        <v>92</v>
      </c>
      <c r="F367" s="40" t="s">
        <v>166</v>
      </c>
      <c r="G367" s="77" t="str">
        <f>IF(P351+Q351=0,"gagnant B5",IF(P351&gt;Q351,G351,N351))</f>
        <v>BELFORT</v>
      </c>
      <c r="H367" s="123"/>
      <c r="I367" s="123"/>
      <c r="J367" s="123"/>
      <c r="K367" s="123"/>
      <c r="L367" s="123"/>
      <c r="M367" s="123"/>
      <c r="N367" s="169" t="str">
        <f>IF(P353+Q353=0,"gagnant B6",IF(P353&gt;Q353,G353,N353))</f>
        <v>CD 67</v>
      </c>
      <c r="O367" s="170"/>
      <c r="P367" s="238">
        <f>IF(H367&gt;I367,1,0)+IF(J367&gt;K367,1,0)+IF(L367&gt;M367,1,0)</f>
        <v>0</v>
      </c>
      <c r="Q367" s="239">
        <f>IF(I367&gt;H367,1,0)+IF(K367&gt;J367,1,0)+IF(M367&gt;L367,1,0)</f>
        <v>0</v>
      </c>
      <c r="R367" s="240"/>
      <c r="S367" s="241">
        <f>H367+J367+L367</f>
        <v>0</v>
      </c>
      <c r="T367" s="242">
        <f>I367+K367+M367</f>
        <v>0</v>
      </c>
      <c r="U367" s="240" t="e">
        <f t="shared" ref="U367" si="136">J367+L367+N367</f>
        <v>#VALUE!</v>
      </c>
      <c r="V367" s="124" t="s">
        <v>214</v>
      </c>
    </row>
    <row r="368" spans="2:22" ht="20.100000000000001" hidden="1" customHeight="1" x14ac:dyDescent="0.3">
      <c r="B368" s="172"/>
      <c r="F368" s="92"/>
      <c r="G368" s="98" t="s">
        <v>70</v>
      </c>
      <c r="H368" s="99"/>
      <c r="I368" s="99"/>
      <c r="J368" s="99"/>
      <c r="K368" s="99"/>
      <c r="L368" s="99"/>
      <c r="M368" s="99"/>
      <c r="N368" s="100"/>
      <c r="O368" s="31"/>
      <c r="P368" s="243"/>
      <c r="Q368" s="243"/>
      <c r="R368" s="244"/>
      <c r="S368" s="243"/>
      <c r="T368" s="245"/>
      <c r="U368" s="246"/>
      <c r="V368" s="82"/>
    </row>
    <row r="369" spans="2:22" ht="20.100000000000001" hidden="1" customHeight="1" thickBot="1" x14ac:dyDescent="0.35">
      <c r="B369" s="247" t="str">
        <f>N365</f>
        <v>CD 71-2</v>
      </c>
      <c r="F369" s="68" t="s">
        <v>210</v>
      </c>
      <c r="G369" s="53" t="str">
        <f>IF(P351+Q351=0,"perdant B5",IF(P351&lt;Q351,G351,N351))</f>
        <v>CD 71-1</v>
      </c>
      <c r="H369" s="145"/>
      <c r="I369" s="145"/>
      <c r="J369" s="145"/>
      <c r="K369" s="145"/>
      <c r="L369" s="145"/>
      <c r="M369" s="145"/>
      <c r="N369" s="248" t="str">
        <f>IF(P353+Q353=0,"perdant B6",IF(P353&lt;Q353,G353,N353))</f>
        <v>LA LOUVIERE</v>
      </c>
      <c r="O369" s="187"/>
      <c r="P369" s="57">
        <f>IF(H369&gt;I369,1,0)+IF(J369&gt;K369,1,0)+IF(L369&gt;M369,1,0)</f>
        <v>0</v>
      </c>
      <c r="Q369" s="67">
        <f>IF(I369&gt;H369,1,0)+IF(K369&gt;J369,1,0)+IF(M369&gt;L369,1,0)</f>
        <v>0</v>
      </c>
      <c r="R369" s="59"/>
      <c r="S369" s="57">
        <f t="shared" ref="S369:U369" si="137">H369+J369+L369</f>
        <v>0</v>
      </c>
      <c r="T369" s="249">
        <f t="shared" si="137"/>
        <v>0</v>
      </c>
      <c r="U369" s="191" t="e">
        <f t="shared" si="137"/>
        <v>#VALUE!</v>
      </c>
      <c r="V369" s="149" t="s">
        <v>213</v>
      </c>
    </row>
    <row r="370" spans="2:22" ht="20.100000000000001" hidden="1" customHeight="1" thickBot="1" x14ac:dyDescent="0.35">
      <c r="B370" s="250"/>
      <c r="F370" s="251" t="s">
        <v>215</v>
      </c>
      <c r="G370" s="252"/>
      <c r="H370" s="201"/>
      <c r="I370" s="201"/>
      <c r="J370" s="201"/>
      <c r="K370" s="201"/>
      <c r="L370" s="201"/>
      <c r="M370" s="201"/>
      <c r="N370" s="252"/>
      <c r="O370" s="202"/>
      <c r="P370" s="201"/>
      <c r="Q370" s="201"/>
      <c r="R370" s="201"/>
      <c r="S370" s="201"/>
      <c r="T370" s="201"/>
      <c r="U370" s="201"/>
      <c r="V370" s="253"/>
    </row>
    <row r="371" spans="2:22" ht="20.100000000000001" hidden="1" customHeight="1" x14ac:dyDescent="0.3">
      <c r="B371" s="254"/>
    </row>
    <row r="372" spans="2:22" ht="20.100000000000001" customHeight="1" x14ac:dyDescent="0.3">
      <c r="B372" s="254"/>
      <c r="F372" s="40"/>
      <c r="G372" s="98" t="s">
        <v>64</v>
      </c>
      <c r="H372" s="99"/>
      <c r="I372" s="99"/>
      <c r="J372" s="99"/>
      <c r="K372" s="99"/>
      <c r="L372" s="99"/>
      <c r="M372" s="99"/>
      <c r="N372" s="100"/>
      <c r="O372" s="139"/>
      <c r="P372" s="79"/>
      <c r="Q372" s="79"/>
      <c r="R372" s="45"/>
      <c r="S372" s="79"/>
      <c r="T372" s="80"/>
      <c r="U372" s="176"/>
      <c r="V372" s="177"/>
    </row>
    <row r="373" spans="2:22" ht="20.100000000000001" customHeight="1" x14ac:dyDescent="0.3">
      <c r="B373" s="168" t="str">
        <f>N377</f>
        <v>LA LOUVIERE</v>
      </c>
      <c r="F373" s="83" t="s">
        <v>141</v>
      </c>
      <c r="G373" s="41" t="str">
        <f>IF(P353+Q353=0,"en attente",IF(P353&lt;Q353,G357,G365))</f>
        <v>CD 71-1</v>
      </c>
      <c r="H373" s="123">
        <v>25</v>
      </c>
      <c r="I373" s="123">
        <v>15</v>
      </c>
      <c r="J373" s="123">
        <v>25</v>
      </c>
      <c r="K373" s="123">
        <v>21</v>
      </c>
      <c r="L373" s="123"/>
      <c r="M373" s="123"/>
      <c r="N373" s="178" t="str">
        <f>IF(P353+Q353=0,"en attente",IF(P353&lt;Q353,N357,N365))</f>
        <v>CD 71-2</v>
      </c>
      <c r="O373" s="154"/>
      <c r="P373" s="38">
        <f>IF(H373&gt;I373,1,0)+IF(J373&gt;K373,1,0)+IF(L373&gt;M373,1,0)</f>
        <v>2</v>
      </c>
      <c r="Q373" s="44">
        <f>IF(I373&gt;H373,1,0)+IF(K373&gt;J373,1,0)+IF(M373&gt;L373,1,0)</f>
        <v>0</v>
      </c>
      <c r="R373" s="45"/>
      <c r="S373" s="38">
        <f t="shared" ref="S373:T373" si="138">H373+J373+L373</f>
        <v>50</v>
      </c>
      <c r="T373" s="46">
        <f t="shared" si="138"/>
        <v>36</v>
      </c>
      <c r="U373" s="36"/>
      <c r="V373" s="137" t="str">
        <f>IF(P353+Q353=0,"en attente",IF(P353&lt;Q353,V357,V365))</f>
        <v>Places 35-37</v>
      </c>
    </row>
    <row r="374" spans="2:22" ht="20.100000000000001" customHeight="1" x14ac:dyDescent="0.3">
      <c r="B374" s="208"/>
      <c r="F374" s="40"/>
      <c r="G374" s="98" t="s">
        <v>70</v>
      </c>
      <c r="H374" s="99"/>
      <c r="I374" s="99"/>
      <c r="J374" s="99"/>
      <c r="K374" s="99"/>
      <c r="L374" s="99"/>
      <c r="M374" s="99"/>
      <c r="N374" s="100"/>
      <c r="O374" s="139"/>
      <c r="P374" s="79"/>
      <c r="Q374" s="79"/>
      <c r="R374" s="45"/>
      <c r="S374" s="79"/>
      <c r="T374" s="80"/>
      <c r="U374" s="176"/>
      <c r="V374" s="177"/>
    </row>
    <row r="375" spans="2:22" ht="20.100000000000001" customHeight="1" x14ac:dyDescent="0.3">
      <c r="B375" s="168" t="s">
        <v>92</v>
      </c>
      <c r="F375" s="40" t="s">
        <v>166</v>
      </c>
      <c r="G375" s="77" t="str">
        <f>IF(P353+Q353=0,"en attente",IF(P353&lt;Q353,G359,G367))</f>
        <v>BELFORT</v>
      </c>
      <c r="H375" s="123">
        <v>18</v>
      </c>
      <c r="I375" s="123">
        <v>25</v>
      </c>
      <c r="J375" s="123">
        <v>28</v>
      </c>
      <c r="K375" s="123">
        <v>26</v>
      </c>
      <c r="L375" s="123">
        <v>8</v>
      </c>
      <c r="M375" s="123">
        <v>15</v>
      </c>
      <c r="N375" s="169" t="str">
        <f>IF(P353+Q353=0,"en attente",IF(P353&lt;Q353,N359,N367))</f>
        <v>CD 67</v>
      </c>
      <c r="O375" s="170"/>
      <c r="P375" s="238">
        <f>IF(H375&gt;I375,1,0)+IF(J375&gt;K375,1,0)+IF(L375&gt;M375,1,0)</f>
        <v>1</v>
      </c>
      <c r="Q375" s="239">
        <f>IF(I375&gt;H375,1,0)+IF(K375&gt;J375,1,0)+IF(M375&gt;L375,1,0)</f>
        <v>2</v>
      </c>
      <c r="R375" s="240"/>
      <c r="S375" s="241">
        <f>H375+J375+L375</f>
        <v>54</v>
      </c>
      <c r="T375" s="242">
        <f>I375+K375+M375</f>
        <v>66</v>
      </c>
      <c r="U375" s="240" t="e">
        <f t="shared" ref="U375" si="139">J375+L375+N375</f>
        <v>#VALUE!</v>
      </c>
      <c r="V375" s="124" t="str">
        <f>IF(P353+Q353=0,"en attente",IF(P353&lt;Q353,V359,V367))</f>
        <v>Places 33-34</v>
      </c>
    </row>
    <row r="376" spans="2:22" ht="20.100000000000001" customHeight="1" x14ac:dyDescent="0.3">
      <c r="B376" s="172"/>
      <c r="F376" s="92"/>
      <c r="G376" s="98" t="s">
        <v>70</v>
      </c>
      <c r="H376" s="99"/>
      <c r="I376" s="99"/>
      <c r="J376" s="99"/>
      <c r="K376" s="99"/>
      <c r="L376" s="99"/>
      <c r="M376" s="99"/>
      <c r="N376" s="100"/>
      <c r="O376" s="31"/>
      <c r="P376" s="243"/>
      <c r="Q376" s="243"/>
      <c r="R376" s="244"/>
      <c r="S376" s="243"/>
      <c r="T376" s="245"/>
      <c r="U376" s="246"/>
      <c r="V376" s="82"/>
    </row>
    <row r="377" spans="2:22" ht="20.100000000000001" customHeight="1" thickBot="1" x14ac:dyDescent="0.35">
      <c r="B377" s="213" t="str">
        <f>N373</f>
        <v>CD 71-2</v>
      </c>
      <c r="F377" s="68" t="s">
        <v>210</v>
      </c>
      <c r="G377" s="53" t="str">
        <f>IF(P353+Q353=0,"en attente",IF(P353&lt;Q353,G361,G369))</f>
        <v>CD 71-1</v>
      </c>
      <c r="H377" s="145"/>
      <c r="I377" s="145"/>
      <c r="J377" s="145"/>
      <c r="K377" s="145"/>
      <c r="L377" s="145"/>
      <c r="M377" s="145"/>
      <c r="N377" s="248" t="str">
        <f>IF(P353+Q353=0,"en attente",IF(P353&lt;Q353,N361,N369))</f>
        <v>LA LOUVIERE</v>
      </c>
      <c r="O377" s="187"/>
      <c r="P377" s="57">
        <f>IF(H377&gt;I377,1,0)+IF(J377&gt;K377,1,0)+IF(L377&gt;M377,1,0)</f>
        <v>0</v>
      </c>
      <c r="Q377" s="67">
        <f>IF(I377&gt;H377,1,0)+IF(K377&gt;J377,1,0)+IF(M377&gt;L377,1,0)</f>
        <v>0</v>
      </c>
      <c r="R377" s="59"/>
      <c r="S377" s="57">
        <f t="shared" ref="S377:U377" si="140">H377+J377+L377</f>
        <v>0</v>
      </c>
      <c r="T377" s="249">
        <f t="shared" si="140"/>
        <v>0</v>
      </c>
      <c r="U377" s="191" t="e">
        <f t="shared" si="140"/>
        <v>#VALUE!</v>
      </c>
      <c r="V377" s="149" t="str">
        <f>IF(P353+Q353=0,"en attente",IF(P353&lt;Q353,V361,V369))</f>
        <v>Places 35-37</v>
      </c>
    </row>
    <row r="378" spans="2:22" ht="20.100000000000001" customHeight="1" x14ac:dyDescent="0.3">
      <c r="B378" s="70"/>
    </row>
    <row r="379" spans="2:22" ht="18" customHeight="1" x14ac:dyDescent="0.5">
      <c r="B379" s="70"/>
      <c r="G379" s="255"/>
      <c r="H379" s="256" t="s">
        <v>216</v>
      </c>
      <c r="I379" s="256"/>
      <c r="J379" s="256"/>
      <c r="K379" s="256"/>
      <c r="L379" s="256"/>
      <c r="M379" s="256"/>
    </row>
    <row r="380" spans="2:22" ht="18" customHeight="1" x14ac:dyDescent="0.35">
      <c r="B380" s="70"/>
      <c r="G380" s="257">
        <v>1</v>
      </c>
      <c r="H380" s="258" t="str">
        <f>IF(P250+Q250=0,"",IF(P250&gt;Q250,G250,N250))</f>
        <v/>
      </c>
      <c r="I380" s="258"/>
      <c r="J380" s="258"/>
      <c r="K380" s="258"/>
      <c r="L380" s="258"/>
      <c r="M380" s="258"/>
    </row>
    <row r="381" spans="2:22" ht="18" customHeight="1" x14ac:dyDescent="0.35">
      <c r="B381" s="70"/>
      <c r="G381" s="259">
        <v>2</v>
      </c>
      <c r="H381" s="260" t="str">
        <f>IF(P250+Q250=0,"",IF(P250&gt;Q250,N250,G250))</f>
        <v/>
      </c>
      <c r="I381" s="260"/>
      <c r="J381" s="260"/>
      <c r="K381" s="260"/>
      <c r="L381" s="260"/>
      <c r="M381" s="260"/>
    </row>
    <row r="382" spans="2:22" ht="18" customHeight="1" x14ac:dyDescent="0.35">
      <c r="G382" s="257">
        <v>3</v>
      </c>
      <c r="H382" s="258" t="str">
        <f>IF(P249+Q249=0,"",IF(P249&gt;Q249,G249,N249))</f>
        <v/>
      </c>
      <c r="I382" s="258"/>
      <c r="J382" s="258"/>
      <c r="K382" s="258"/>
      <c r="L382" s="258"/>
      <c r="M382" s="258"/>
      <c r="V382"/>
    </row>
    <row r="383" spans="2:22" ht="18" customHeight="1" x14ac:dyDescent="0.35">
      <c r="G383" s="259">
        <v>4</v>
      </c>
      <c r="H383" s="260" t="str">
        <f>IF(P249+Q249=0,"",IF(P249&lt;Q249,G249,N249))</f>
        <v/>
      </c>
      <c r="I383" s="260"/>
      <c r="J383" s="260"/>
      <c r="K383" s="260"/>
      <c r="L383" s="260"/>
      <c r="M383" s="260"/>
      <c r="V383"/>
    </row>
    <row r="384" spans="2:22" ht="18" customHeight="1" x14ac:dyDescent="0.35">
      <c r="G384" s="257">
        <v>5</v>
      </c>
      <c r="H384" s="258" t="str">
        <f>IF(P245+Q245=0,"",IF(P245&gt;Q245,G245,N245))</f>
        <v/>
      </c>
      <c r="I384" s="258"/>
      <c r="J384" s="258"/>
      <c r="K384" s="258"/>
      <c r="L384" s="258"/>
      <c r="M384" s="258"/>
      <c r="V384"/>
    </row>
    <row r="385" spans="7:22" ht="18" customHeight="1" x14ac:dyDescent="0.35">
      <c r="G385" s="259">
        <v>6</v>
      </c>
      <c r="H385" s="260" t="str">
        <f>IF(P245+Q245=0,"",IF(P245&lt;Q245,G245,N245))</f>
        <v/>
      </c>
      <c r="I385" s="260"/>
      <c r="J385" s="260"/>
      <c r="K385" s="260"/>
      <c r="L385" s="260"/>
      <c r="M385" s="260"/>
      <c r="V385"/>
    </row>
    <row r="386" spans="7:22" ht="18" customHeight="1" x14ac:dyDescent="0.35">
      <c r="G386" s="257">
        <v>7</v>
      </c>
      <c r="H386" s="261" t="str">
        <f>IF(P247+Q247=0,"",IF(P247&gt;Q247,G247,N247))</f>
        <v/>
      </c>
      <c r="I386" s="261"/>
      <c r="J386" s="261"/>
      <c r="K386" s="261"/>
      <c r="L386" s="261"/>
      <c r="M386" s="261"/>
      <c r="V386"/>
    </row>
    <row r="387" spans="7:22" ht="18" customHeight="1" x14ac:dyDescent="0.35">
      <c r="G387" s="259">
        <v>8</v>
      </c>
      <c r="H387" s="260" t="str">
        <f>IF(P247+Q247=0,"",IF(P247&lt;Q247,G247,N247))</f>
        <v/>
      </c>
      <c r="I387" s="260"/>
      <c r="J387" s="260"/>
      <c r="K387" s="260"/>
      <c r="L387" s="260"/>
      <c r="M387" s="260"/>
      <c r="V387"/>
    </row>
    <row r="388" spans="7:22" ht="18" customHeight="1" x14ac:dyDescent="0.35">
      <c r="G388" s="257">
        <v>9</v>
      </c>
      <c r="H388" s="261" t="str">
        <f>IF(P282+Q282=0,"",IF(P282&gt;Q282,G282,N282))</f>
        <v>AACHEN</v>
      </c>
      <c r="I388" s="261"/>
      <c r="J388" s="261"/>
      <c r="K388" s="261"/>
      <c r="L388" s="261"/>
      <c r="M388" s="261"/>
      <c r="V388"/>
    </row>
    <row r="389" spans="7:22" ht="18" customHeight="1" x14ac:dyDescent="0.35">
      <c r="G389" s="259">
        <v>10</v>
      </c>
      <c r="H389" s="260" t="str">
        <f>IF(P282+Q282=0,"",IF(P282&lt;Q282,G282,N282))</f>
        <v>VILLEJUIF</v>
      </c>
      <c r="I389" s="260"/>
      <c r="J389" s="260"/>
      <c r="K389" s="260"/>
      <c r="L389" s="260"/>
      <c r="M389" s="260"/>
      <c r="V389"/>
    </row>
    <row r="390" spans="7:22" ht="18" customHeight="1" x14ac:dyDescent="0.35">
      <c r="G390" s="257">
        <v>11</v>
      </c>
      <c r="H390" s="261" t="str">
        <f>IF(P280+Q280=0,"",IF(P280&gt;Q280,G280,N280))</f>
        <v>HARNES</v>
      </c>
      <c r="I390" s="261"/>
      <c r="J390" s="261"/>
      <c r="K390" s="261"/>
      <c r="L390" s="261"/>
      <c r="M390" s="261"/>
      <c r="V390"/>
    </row>
    <row r="391" spans="7:22" ht="18" customHeight="1" x14ac:dyDescent="0.35">
      <c r="G391" s="259">
        <v>12</v>
      </c>
      <c r="H391" s="260" t="str">
        <f>IF(P280+Q280=0,"",IF(P280&lt;Q280,G280,N280))</f>
        <v>LE TOUQUET</v>
      </c>
      <c r="I391" s="260"/>
      <c r="J391" s="260"/>
      <c r="K391" s="260"/>
      <c r="L391" s="260"/>
      <c r="M391" s="260"/>
      <c r="V391"/>
    </row>
    <row r="392" spans="7:22" ht="18" customHeight="1" x14ac:dyDescent="0.35">
      <c r="G392" s="257">
        <v>13</v>
      </c>
      <c r="H392" s="258" t="str">
        <f>IF(P278+Q278=0,"",IF(P278&gt;Q278,G278,N278))</f>
        <v>ZANHOVEN 2</v>
      </c>
      <c r="I392" s="258"/>
      <c r="J392" s="258"/>
      <c r="K392" s="258"/>
      <c r="L392" s="258"/>
      <c r="M392" s="258"/>
      <c r="V392"/>
    </row>
    <row r="393" spans="7:22" ht="18" customHeight="1" x14ac:dyDescent="0.35">
      <c r="G393" s="259">
        <v>14</v>
      </c>
      <c r="H393" s="260" t="str">
        <f>IF(P278+Q278=0,"",IF(P278&lt;Q278,G278,N278))</f>
        <v>YUTZ 1</v>
      </c>
      <c r="I393" s="260"/>
      <c r="J393" s="260"/>
      <c r="K393" s="260"/>
      <c r="L393" s="260"/>
      <c r="M393" s="260"/>
      <c r="V393"/>
    </row>
    <row r="394" spans="7:22" ht="18" customHeight="1" x14ac:dyDescent="0.35">
      <c r="G394" s="257">
        <v>15</v>
      </c>
      <c r="H394" s="261" t="str">
        <f>IF(P277+Q277=0,"",IF(P277&gt;Q277,G277,N277))</f>
        <v>ENSISHEIM</v>
      </c>
      <c r="I394" s="261"/>
      <c r="J394" s="261"/>
      <c r="K394" s="261"/>
      <c r="L394" s="261"/>
      <c r="M394" s="261"/>
      <c r="V394"/>
    </row>
    <row r="395" spans="7:22" ht="18" customHeight="1" x14ac:dyDescent="0.35">
      <c r="G395" s="259">
        <v>16</v>
      </c>
      <c r="H395" s="260" t="str">
        <f>IF(P277+Q277=0,"",IF(P277&lt;Q277,G277,N277))</f>
        <v>AUBAGNE</v>
      </c>
      <c r="I395" s="260"/>
      <c r="J395" s="260"/>
      <c r="K395" s="260"/>
      <c r="L395" s="260"/>
      <c r="M395" s="260"/>
      <c r="V395"/>
    </row>
    <row r="396" spans="7:22" ht="18" customHeight="1" x14ac:dyDescent="0.35">
      <c r="G396" s="257">
        <v>17</v>
      </c>
      <c r="H396" s="261" t="str">
        <f>IF(P315+Q315=0,"",IF(P315&gt;Q315,G315,N315))</f>
        <v>WEISSWASSER</v>
      </c>
      <c r="I396" s="261"/>
      <c r="J396" s="261"/>
      <c r="K396" s="261"/>
      <c r="L396" s="261"/>
      <c r="M396" s="261"/>
      <c r="V396"/>
    </row>
    <row r="397" spans="7:22" ht="18" customHeight="1" x14ac:dyDescent="0.35">
      <c r="G397" s="259">
        <v>18</v>
      </c>
      <c r="H397" s="260" t="str">
        <f>IF(P315+Q315=0,"",IF(P315&lt;Q315,G315,N315))</f>
        <v>CD 68-3</v>
      </c>
      <c r="I397" s="260"/>
      <c r="J397" s="260"/>
      <c r="K397" s="260"/>
      <c r="L397" s="260"/>
      <c r="M397" s="260"/>
      <c r="V397"/>
    </row>
    <row r="398" spans="7:22" ht="18" customHeight="1" x14ac:dyDescent="0.35">
      <c r="G398" s="257">
        <v>19</v>
      </c>
      <c r="H398" s="258" t="str">
        <f>IF(P313+Q313=0,"",IF(P313&gt;Q313,G313,N313))</f>
        <v>KINGERSHEIM 1</v>
      </c>
      <c r="I398" s="258"/>
      <c r="J398" s="258"/>
      <c r="K398" s="258"/>
      <c r="L398" s="258"/>
      <c r="M398" s="258"/>
    </row>
    <row r="399" spans="7:22" ht="18" customHeight="1" x14ac:dyDescent="0.35">
      <c r="G399" s="259">
        <v>20</v>
      </c>
      <c r="H399" s="260" t="str">
        <f>IF(P313+Q313=0,"",IF(P313&lt;Q313,G313,N313))</f>
        <v>CD 68-4</v>
      </c>
      <c r="I399" s="260"/>
      <c r="J399" s="260"/>
      <c r="K399" s="260"/>
      <c r="L399" s="260"/>
      <c r="M399" s="260"/>
    </row>
    <row r="400" spans="7:22" ht="18" customHeight="1" x14ac:dyDescent="0.35">
      <c r="G400" s="257">
        <v>21</v>
      </c>
      <c r="H400" s="258" t="str">
        <f>IF(P309+Q309=0,"",IF(P309&gt;Q309,G309,N309))</f>
        <v>YUTZ 2</v>
      </c>
      <c r="I400" s="258"/>
      <c r="J400" s="258"/>
      <c r="K400" s="258"/>
      <c r="L400" s="258"/>
      <c r="M400" s="258"/>
    </row>
    <row r="401" spans="7:13" ht="18" customHeight="1" x14ac:dyDescent="0.35">
      <c r="G401" s="259">
        <v>22</v>
      </c>
      <c r="H401" s="260" t="str">
        <f>IF(P309+Q309=0,"",IF(P309&lt;Q309,G309,N309))</f>
        <v>UNION DU CENTRE 2</v>
      </c>
      <c r="I401" s="260"/>
      <c r="J401" s="260"/>
      <c r="K401" s="260"/>
      <c r="L401" s="260"/>
      <c r="M401" s="260"/>
    </row>
    <row r="402" spans="7:13" ht="18" customHeight="1" x14ac:dyDescent="0.35">
      <c r="G402" s="257">
        <v>23</v>
      </c>
      <c r="H402" s="258" t="str">
        <f>IF(P311+Q311=0,"",IF(P311&gt;Q311,G311,N311))</f>
        <v>KINGERSHEIM 2</v>
      </c>
      <c r="I402" s="258"/>
      <c r="J402" s="258"/>
      <c r="K402" s="258"/>
      <c r="L402" s="258"/>
      <c r="M402" s="258"/>
    </row>
    <row r="403" spans="7:13" ht="18" customHeight="1" x14ac:dyDescent="0.35">
      <c r="G403" s="259">
        <v>24</v>
      </c>
      <c r="H403" s="260" t="str">
        <f>IF(P311+Q311=0,"",IF(P311&lt;Q311,G311,N311))</f>
        <v>RIXHEIM</v>
      </c>
      <c r="I403" s="260"/>
      <c r="J403" s="260"/>
      <c r="K403" s="260"/>
      <c r="L403" s="260"/>
      <c r="M403" s="260"/>
    </row>
    <row r="404" spans="7:13" ht="18" customHeight="1" x14ac:dyDescent="0.35">
      <c r="G404" s="257">
        <v>25</v>
      </c>
      <c r="H404" s="261" t="str">
        <f>IF(P331+Q331=0,"",IF(P331&gt;Q331,G331,N331))</f>
        <v>BIRKACH</v>
      </c>
      <c r="I404" s="261"/>
      <c r="J404" s="261"/>
      <c r="K404" s="261"/>
      <c r="L404" s="261"/>
      <c r="M404" s="261"/>
    </row>
    <row r="405" spans="7:13" ht="18" customHeight="1" x14ac:dyDescent="0.35">
      <c r="G405" s="259">
        <v>26</v>
      </c>
      <c r="H405" s="260" t="str">
        <f>IF(P331+Q331=0,"",IF(P331&lt;Q331,G331,N331))</f>
        <v>HÖCHST 2</v>
      </c>
      <c r="I405" s="260"/>
      <c r="J405" s="260"/>
      <c r="K405" s="260"/>
      <c r="L405" s="260"/>
      <c r="M405" s="260"/>
    </row>
    <row r="406" spans="7:13" ht="18" customHeight="1" x14ac:dyDescent="0.35">
      <c r="G406" s="257">
        <v>27</v>
      </c>
      <c r="H406" s="261" t="str">
        <f>IF(P329+Q329=0,"",IF(P329&gt;Q329,G329,N329))</f>
        <v>NÜZIDERS</v>
      </c>
      <c r="I406" s="261"/>
      <c r="J406" s="261"/>
      <c r="K406" s="261"/>
      <c r="L406" s="261"/>
      <c r="M406" s="261"/>
    </row>
    <row r="407" spans="7:13" ht="18" customHeight="1" x14ac:dyDescent="0.35">
      <c r="G407" s="259">
        <v>28</v>
      </c>
      <c r="H407" s="260" t="str">
        <f>IF(P329+Q329=0,"",IF(P329&lt;Q329,G329,N329))</f>
        <v>CD 21</v>
      </c>
      <c r="I407" s="260"/>
      <c r="J407" s="260"/>
      <c r="K407" s="260"/>
      <c r="L407" s="260"/>
      <c r="M407" s="260"/>
    </row>
    <row r="408" spans="7:13" ht="18" customHeight="1" x14ac:dyDescent="0.35">
      <c r="G408" s="257">
        <v>29</v>
      </c>
      <c r="H408" s="261" t="str">
        <f>IF(P342+Q342=0,"",IF(P342&gt;Q342,G342,N342))</f>
        <v>DORNBIRN 2</v>
      </c>
      <c r="I408" s="261"/>
      <c r="J408" s="261"/>
      <c r="K408" s="261"/>
      <c r="L408" s="261"/>
      <c r="M408" s="261"/>
    </row>
    <row r="409" spans="7:13" ht="18" customHeight="1" x14ac:dyDescent="0.35">
      <c r="G409" s="259">
        <v>30</v>
      </c>
      <c r="H409" s="260" t="str">
        <f>IF(P342+Q342=0,"",IF(P342&lt;Q342,G342,N342))</f>
        <v>THIMISTER 2</v>
      </c>
      <c r="I409" s="260"/>
      <c r="J409" s="260"/>
      <c r="K409" s="260"/>
      <c r="L409" s="260"/>
      <c r="M409" s="260"/>
    </row>
    <row r="410" spans="7:13" ht="18" customHeight="1" x14ac:dyDescent="0.35">
      <c r="G410" s="257">
        <v>31</v>
      </c>
      <c r="H410" s="258" t="str">
        <f>IF(P340+Q340=0,"",IF(P340&gt;Q340,G340,N340))</f>
        <v>MAIZIERES LES METZ</v>
      </c>
      <c r="I410" s="258"/>
      <c r="J410" s="258"/>
      <c r="K410" s="258"/>
      <c r="L410" s="258"/>
      <c r="M410" s="258"/>
    </row>
    <row r="411" spans="7:13" ht="18" customHeight="1" x14ac:dyDescent="0.35">
      <c r="G411" s="259">
        <v>32</v>
      </c>
      <c r="H411" s="260" t="str">
        <f>IF(P340+Q340=0,"",IF(P340&lt;Q340,G340,N340))</f>
        <v>THIMISTER 3</v>
      </c>
      <c r="I411" s="260"/>
      <c r="J411" s="260"/>
      <c r="K411" s="260"/>
      <c r="L411" s="260"/>
      <c r="M411" s="260"/>
    </row>
    <row r="412" spans="7:13" ht="18" customHeight="1" x14ac:dyDescent="0.35">
      <c r="G412" s="257">
        <v>33</v>
      </c>
      <c r="H412" s="261" t="str">
        <f>IF(P353&lt;Q353,'[1]classement 33 37'!W15,IF(P375&gt;Q375,G375,N375))</f>
        <v>CD 67</v>
      </c>
      <c r="I412" s="261"/>
      <c r="J412" s="261"/>
      <c r="K412" s="261"/>
      <c r="L412" s="261"/>
      <c r="M412" s="261"/>
    </row>
    <row r="413" spans="7:13" ht="18" customHeight="1" x14ac:dyDescent="0.35">
      <c r="G413" s="259">
        <v>34</v>
      </c>
      <c r="H413" s="260" t="str">
        <f>IF(P353&lt;Q353,'[1]classement 33 37'!W16,IF(P375&lt;Q375,G375,N375))</f>
        <v>BELFORT</v>
      </c>
      <c r="I413" s="260"/>
      <c r="J413" s="260"/>
      <c r="K413" s="260"/>
      <c r="L413" s="260"/>
      <c r="M413" s="260"/>
    </row>
    <row r="414" spans="7:13" ht="18" customHeight="1" x14ac:dyDescent="0.35">
      <c r="G414" s="257">
        <v>35</v>
      </c>
      <c r="H414" s="261" t="str">
        <f>IF(P353&lt;Q353,'[1]classement 33 37'!W17,'[1]classement 33 37'!W15)</f>
        <v>1er poule</v>
      </c>
      <c r="I414" s="261"/>
      <c r="J414" s="261"/>
      <c r="K414" s="261"/>
      <c r="L414" s="261"/>
      <c r="M414" s="261"/>
    </row>
    <row r="415" spans="7:13" ht="18" customHeight="1" x14ac:dyDescent="0.35">
      <c r="G415" s="259">
        <v>36</v>
      </c>
      <c r="H415" s="260" t="str">
        <f>IF(P353&lt;Q353,IF(P375&gt;Q375,G375,N375),'[1]classement 33 37'!W16)</f>
        <v>2e poule</v>
      </c>
      <c r="I415" s="260"/>
      <c r="J415" s="260"/>
      <c r="K415" s="260"/>
      <c r="L415" s="260"/>
      <c r="M415" s="260"/>
    </row>
    <row r="416" spans="7:13" ht="18" customHeight="1" x14ac:dyDescent="0.35">
      <c r="G416" s="257">
        <v>37</v>
      </c>
      <c r="H416" s="261" t="str">
        <f>IF(P353&lt;Q353,IF(P375&lt;Q375,G375,N375),'[1]classement 33 37'!W17)</f>
        <v>3e poule</v>
      </c>
      <c r="I416" s="261"/>
      <c r="J416" s="261"/>
      <c r="K416" s="261"/>
      <c r="L416" s="261"/>
      <c r="M416" s="261"/>
    </row>
    <row r="417" ht="18" customHeight="1" x14ac:dyDescent="0.3"/>
  </sheetData>
  <mergeCells count="397">
    <mergeCell ref="H412:M412"/>
    <mergeCell ref="H413:M413"/>
    <mergeCell ref="H414:M414"/>
    <mergeCell ref="H415:M415"/>
    <mergeCell ref="H416:M416"/>
    <mergeCell ref="H406:M406"/>
    <mergeCell ref="H407:M407"/>
    <mergeCell ref="H408:M408"/>
    <mergeCell ref="H409:M409"/>
    <mergeCell ref="H410:M410"/>
    <mergeCell ref="H411:M411"/>
    <mergeCell ref="H400:M400"/>
    <mergeCell ref="H401:M401"/>
    <mergeCell ref="H402:M402"/>
    <mergeCell ref="H403:M403"/>
    <mergeCell ref="H404:M404"/>
    <mergeCell ref="H405:M405"/>
    <mergeCell ref="H394:M394"/>
    <mergeCell ref="H395:M395"/>
    <mergeCell ref="H396:M396"/>
    <mergeCell ref="H397:M397"/>
    <mergeCell ref="H398:M398"/>
    <mergeCell ref="H399:M399"/>
    <mergeCell ref="H388:M388"/>
    <mergeCell ref="H389:M389"/>
    <mergeCell ref="H390:M390"/>
    <mergeCell ref="H391:M391"/>
    <mergeCell ref="H392:M392"/>
    <mergeCell ref="H393:M393"/>
    <mergeCell ref="H382:M382"/>
    <mergeCell ref="H383:M383"/>
    <mergeCell ref="H384:M384"/>
    <mergeCell ref="H385:M385"/>
    <mergeCell ref="H386:M386"/>
    <mergeCell ref="H387:M387"/>
    <mergeCell ref="G372:N372"/>
    <mergeCell ref="G374:N374"/>
    <mergeCell ref="G376:N376"/>
    <mergeCell ref="H379:M379"/>
    <mergeCell ref="H380:M380"/>
    <mergeCell ref="H381:M381"/>
    <mergeCell ref="G356:N356"/>
    <mergeCell ref="G358:N358"/>
    <mergeCell ref="G360:N360"/>
    <mergeCell ref="G364:N364"/>
    <mergeCell ref="G366:N366"/>
    <mergeCell ref="G368:N368"/>
    <mergeCell ref="V349:V350"/>
    <mergeCell ref="H350:I350"/>
    <mergeCell ref="J350:K350"/>
    <mergeCell ref="L350:M350"/>
    <mergeCell ref="G352:N352"/>
    <mergeCell ref="G354:N354"/>
    <mergeCell ref="F346:T346"/>
    <mergeCell ref="G348:N348"/>
    <mergeCell ref="B349:B350"/>
    <mergeCell ref="G349:N349"/>
    <mergeCell ref="P349:Q349"/>
    <mergeCell ref="S349:T349"/>
    <mergeCell ref="G336:N336"/>
    <mergeCell ref="G338:N338"/>
    <mergeCell ref="G339:N339"/>
    <mergeCell ref="G341:N341"/>
    <mergeCell ref="F344:T344"/>
    <mergeCell ref="F345:T345"/>
    <mergeCell ref="G328:N328"/>
    <mergeCell ref="G330:N330"/>
    <mergeCell ref="G333:N333"/>
    <mergeCell ref="G334:N334"/>
    <mergeCell ref="P334:Q334"/>
    <mergeCell ref="S334:T334"/>
    <mergeCell ref="V322:V323"/>
    <mergeCell ref="H323:I323"/>
    <mergeCell ref="J323:K323"/>
    <mergeCell ref="L323:M323"/>
    <mergeCell ref="G325:N325"/>
    <mergeCell ref="G327:N327"/>
    <mergeCell ref="G314:N314"/>
    <mergeCell ref="F317:T317"/>
    <mergeCell ref="F318:T318"/>
    <mergeCell ref="F319:T319"/>
    <mergeCell ref="G321:N321"/>
    <mergeCell ref="B322:B323"/>
    <mergeCell ref="G322:N322"/>
    <mergeCell ref="P322:Q322"/>
    <mergeCell ref="S322:T322"/>
    <mergeCell ref="G303:N303"/>
    <mergeCell ref="G305:N305"/>
    <mergeCell ref="G307:N307"/>
    <mergeCell ref="G308:N308"/>
    <mergeCell ref="G310:N310"/>
    <mergeCell ref="G312:N312"/>
    <mergeCell ref="G296:N296"/>
    <mergeCell ref="G298:N298"/>
    <mergeCell ref="G299:N299"/>
    <mergeCell ref="P299:Q299"/>
    <mergeCell ref="S299:T299"/>
    <mergeCell ref="G301:N301"/>
    <mergeCell ref="V289:V290"/>
    <mergeCell ref="H290:I290"/>
    <mergeCell ref="J290:K290"/>
    <mergeCell ref="L290:M290"/>
    <mergeCell ref="G292:N292"/>
    <mergeCell ref="G294:N294"/>
    <mergeCell ref="P294:Q294"/>
    <mergeCell ref="S294:T294"/>
    <mergeCell ref="F284:T284"/>
    <mergeCell ref="F285:T285"/>
    <mergeCell ref="F286:T286"/>
    <mergeCell ref="G288:N288"/>
    <mergeCell ref="B289:B290"/>
    <mergeCell ref="G289:N289"/>
    <mergeCell ref="P289:Q289"/>
    <mergeCell ref="S289:T289"/>
    <mergeCell ref="G271:N271"/>
    <mergeCell ref="G273:N273"/>
    <mergeCell ref="G275:N275"/>
    <mergeCell ref="G276:N276"/>
    <mergeCell ref="G279:N279"/>
    <mergeCell ref="G281:N281"/>
    <mergeCell ref="G264:N264"/>
    <mergeCell ref="G266:N266"/>
    <mergeCell ref="G267:N267"/>
    <mergeCell ref="P267:Q267"/>
    <mergeCell ref="S267:T267"/>
    <mergeCell ref="G269:N269"/>
    <mergeCell ref="V257:V258"/>
    <mergeCell ref="H258:I258"/>
    <mergeCell ref="J258:K258"/>
    <mergeCell ref="L258:M258"/>
    <mergeCell ref="G260:N260"/>
    <mergeCell ref="G262:N262"/>
    <mergeCell ref="P262:Q262"/>
    <mergeCell ref="S262:T262"/>
    <mergeCell ref="G248:N248"/>
    <mergeCell ref="F252:T252"/>
    <mergeCell ref="F253:T253"/>
    <mergeCell ref="F254:T254"/>
    <mergeCell ref="G256:N256"/>
    <mergeCell ref="B257:B258"/>
    <mergeCell ref="G257:N257"/>
    <mergeCell ref="P257:Q257"/>
    <mergeCell ref="S257:T257"/>
    <mergeCell ref="G238:N238"/>
    <mergeCell ref="G240:N240"/>
    <mergeCell ref="F242:T242"/>
    <mergeCell ref="G243:N243"/>
    <mergeCell ref="G244:N244"/>
    <mergeCell ref="G246:N246"/>
    <mergeCell ref="G231:N231"/>
    <mergeCell ref="G233:N233"/>
    <mergeCell ref="G234:N234"/>
    <mergeCell ref="P234:Q234"/>
    <mergeCell ref="S234:T234"/>
    <mergeCell ref="G236:N236"/>
    <mergeCell ref="V224:V225"/>
    <mergeCell ref="H225:I225"/>
    <mergeCell ref="J225:K225"/>
    <mergeCell ref="L225:M225"/>
    <mergeCell ref="G227:N227"/>
    <mergeCell ref="G229:N229"/>
    <mergeCell ref="P229:Q229"/>
    <mergeCell ref="S229:T229"/>
    <mergeCell ref="F220:T220"/>
    <mergeCell ref="F221:T221"/>
    <mergeCell ref="G223:N223"/>
    <mergeCell ref="B224:B225"/>
    <mergeCell ref="G224:N224"/>
    <mergeCell ref="P224:Q224"/>
    <mergeCell ref="S224:T224"/>
    <mergeCell ref="L207:M207"/>
    <mergeCell ref="G210:N210"/>
    <mergeCell ref="F213:T213"/>
    <mergeCell ref="G214:N214"/>
    <mergeCell ref="G216:N216"/>
    <mergeCell ref="F219:T219"/>
    <mergeCell ref="F201:T201"/>
    <mergeCell ref="F202:T202"/>
    <mergeCell ref="F203:T203"/>
    <mergeCell ref="F205:V205"/>
    <mergeCell ref="G206:N206"/>
    <mergeCell ref="P206:Q207"/>
    <mergeCell ref="S206:T207"/>
    <mergeCell ref="V206:V207"/>
    <mergeCell ref="H207:I207"/>
    <mergeCell ref="J207:K207"/>
    <mergeCell ref="F194:V194"/>
    <mergeCell ref="G195:N195"/>
    <mergeCell ref="P195:Q196"/>
    <mergeCell ref="S195:T196"/>
    <mergeCell ref="V195:V196"/>
    <mergeCell ref="H196:I196"/>
    <mergeCell ref="J196:K196"/>
    <mergeCell ref="L196:M196"/>
    <mergeCell ref="L182:M182"/>
    <mergeCell ref="F187:V187"/>
    <mergeCell ref="G188:N188"/>
    <mergeCell ref="P188:Q189"/>
    <mergeCell ref="S188:T189"/>
    <mergeCell ref="V188:V189"/>
    <mergeCell ref="H189:I189"/>
    <mergeCell ref="J189:K189"/>
    <mergeCell ref="L189:M189"/>
    <mergeCell ref="F176:T176"/>
    <mergeCell ref="F177:T177"/>
    <mergeCell ref="F178:T178"/>
    <mergeCell ref="F180:V180"/>
    <mergeCell ref="G181:N181"/>
    <mergeCell ref="P181:Q182"/>
    <mergeCell ref="S181:T182"/>
    <mergeCell ref="V181:V182"/>
    <mergeCell ref="H182:I182"/>
    <mergeCell ref="J182:K182"/>
    <mergeCell ref="L164:M164"/>
    <mergeCell ref="F169:V169"/>
    <mergeCell ref="G170:N170"/>
    <mergeCell ref="P170:Q171"/>
    <mergeCell ref="S170:T171"/>
    <mergeCell ref="V170:V171"/>
    <mergeCell ref="H171:I171"/>
    <mergeCell ref="J171:K171"/>
    <mergeCell ref="L171:M171"/>
    <mergeCell ref="F158:T158"/>
    <mergeCell ref="F159:T159"/>
    <mergeCell ref="F160:T160"/>
    <mergeCell ref="F162:V162"/>
    <mergeCell ref="G163:N163"/>
    <mergeCell ref="P163:Q164"/>
    <mergeCell ref="S163:T164"/>
    <mergeCell ref="V163:V164"/>
    <mergeCell ref="H164:I164"/>
    <mergeCell ref="J164:K164"/>
    <mergeCell ref="F151:V151"/>
    <mergeCell ref="G152:N152"/>
    <mergeCell ref="P152:Q153"/>
    <mergeCell ref="S152:T153"/>
    <mergeCell ref="V152:V153"/>
    <mergeCell ref="H153:I153"/>
    <mergeCell ref="J153:K153"/>
    <mergeCell ref="L153:M153"/>
    <mergeCell ref="L139:M139"/>
    <mergeCell ref="F144:V144"/>
    <mergeCell ref="G145:N145"/>
    <mergeCell ref="P145:Q146"/>
    <mergeCell ref="S145:T146"/>
    <mergeCell ref="V145:V146"/>
    <mergeCell ref="H146:I146"/>
    <mergeCell ref="J146:K146"/>
    <mergeCell ref="L146:M146"/>
    <mergeCell ref="F133:T133"/>
    <mergeCell ref="F134:T134"/>
    <mergeCell ref="F135:T135"/>
    <mergeCell ref="F137:V137"/>
    <mergeCell ref="G138:N138"/>
    <mergeCell ref="P138:Q139"/>
    <mergeCell ref="S138:T139"/>
    <mergeCell ref="V138:V139"/>
    <mergeCell ref="H139:I139"/>
    <mergeCell ref="J139:K139"/>
    <mergeCell ref="F126:V126"/>
    <mergeCell ref="G127:N127"/>
    <mergeCell ref="P127:Q128"/>
    <mergeCell ref="S127:T128"/>
    <mergeCell ref="V127:V128"/>
    <mergeCell ref="H128:I128"/>
    <mergeCell ref="J128:K128"/>
    <mergeCell ref="L128:M128"/>
    <mergeCell ref="J114:K114"/>
    <mergeCell ref="L114:M114"/>
    <mergeCell ref="F119:V119"/>
    <mergeCell ref="G120:N120"/>
    <mergeCell ref="P120:Q121"/>
    <mergeCell ref="S120:T121"/>
    <mergeCell ref="V120:V121"/>
    <mergeCell ref="H121:I121"/>
    <mergeCell ref="J121:K121"/>
    <mergeCell ref="L121:M121"/>
    <mergeCell ref="G103:N103"/>
    <mergeCell ref="F108:T108"/>
    <mergeCell ref="F109:T109"/>
    <mergeCell ref="F110:T110"/>
    <mergeCell ref="F112:V112"/>
    <mergeCell ref="G113:N113"/>
    <mergeCell ref="P113:Q114"/>
    <mergeCell ref="S113:T114"/>
    <mergeCell ref="V113:V114"/>
    <mergeCell ref="H114:I114"/>
    <mergeCell ref="G93:N93"/>
    <mergeCell ref="F97:V97"/>
    <mergeCell ref="G98:N98"/>
    <mergeCell ref="P98:Q99"/>
    <mergeCell ref="S98:T99"/>
    <mergeCell ref="V98:V99"/>
    <mergeCell ref="H99:I99"/>
    <mergeCell ref="J99:K99"/>
    <mergeCell ref="L99:M99"/>
    <mergeCell ref="L83:M83"/>
    <mergeCell ref="G85:N85"/>
    <mergeCell ref="F89:V89"/>
    <mergeCell ref="G90:N90"/>
    <mergeCell ref="P90:Q91"/>
    <mergeCell ref="S90:T91"/>
    <mergeCell ref="V90:V91"/>
    <mergeCell ref="H91:I91"/>
    <mergeCell ref="J91:K91"/>
    <mergeCell ref="L91:M91"/>
    <mergeCell ref="F77:T77"/>
    <mergeCell ref="F78:T78"/>
    <mergeCell ref="F79:T79"/>
    <mergeCell ref="F81:V81"/>
    <mergeCell ref="G82:N82"/>
    <mergeCell ref="P82:Q83"/>
    <mergeCell ref="S82:T83"/>
    <mergeCell ref="V82:V83"/>
    <mergeCell ref="H83:I83"/>
    <mergeCell ref="J83:K83"/>
    <mergeCell ref="F70:V70"/>
    <mergeCell ref="G71:N71"/>
    <mergeCell ref="P71:Q72"/>
    <mergeCell ref="S71:T72"/>
    <mergeCell ref="V71:V72"/>
    <mergeCell ref="H72:I72"/>
    <mergeCell ref="J72:K72"/>
    <mergeCell ref="L72:M72"/>
    <mergeCell ref="L58:M58"/>
    <mergeCell ref="F63:V63"/>
    <mergeCell ref="G64:N64"/>
    <mergeCell ref="P64:Q65"/>
    <mergeCell ref="S64:T65"/>
    <mergeCell ref="V64:V65"/>
    <mergeCell ref="H65:I65"/>
    <mergeCell ref="J65:K65"/>
    <mergeCell ref="L65:M65"/>
    <mergeCell ref="F52:T52"/>
    <mergeCell ref="F53:T53"/>
    <mergeCell ref="F54:T54"/>
    <mergeCell ref="F56:V56"/>
    <mergeCell ref="G57:N57"/>
    <mergeCell ref="P57:Q58"/>
    <mergeCell ref="S57:T58"/>
    <mergeCell ref="V57:V58"/>
    <mergeCell ref="H58:I58"/>
    <mergeCell ref="J58:K58"/>
    <mergeCell ref="F45:V45"/>
    <mergeCell ref="G46:N46"/>
    <mergeCell ref="P46:Q47"/>
    <mergeCell ref="S46:T47"/>
    <mergeCell ref="V46:V47"/>
    <mergeCell ref="H47:I47"/>
    <mergeCell ref="J47:K47"/>
    <mergeCell ref="L47:M47"/>
    <mergeCell ref="L33:M33"/>
    <mergeCell ref="F38:V38"/>
    <mergeCell ref="G39:N39"/>
    <mergeCell ref="P39:Q40"/>
    <mergeCell ref="S39:T40"/>
    <mergeCell ref="V39:V40"/>
    <mergeCell ref="H40:I40"/>
    <mergeCell ref="J40:K40"/>
    <mergeCell ref="L40:M40"/>
    <mergeCell ref="F27:T27"/>
    <mergeCell ref="F28:T28"/>
    <mergeCell ref="F29:T29"/>
    <mergeCell ref="F31:V31"/>
    <mergeCell ref="G32:N32"/>
    <mergeCell ref="P32:Q33"/>
    <mergeCell ref="S32:T33"/>
    <mergeCell ref="V32:V33"/>
    <mergeCell ref="H33:I33"/>
    <mergeCell ref="J33:K33"/>
    <mergeCell ref="F20:V20"/>
    <mergeCell ref="G21:N21"/>
    <mergeCell ref="P21:Q22"/>
    <mergeCell ref="S21:T22"/>
    <mergeCell ref="V21:V22"/>
    <mergeCell ref="H22:I22"/>
    <mergeCell ref="J22:K22"/>
    <mergeCell ref="L22:M22"/>
    <mergeCell ref="L8:M8"/>
    <mergeCell ref="F13:V13"/>
    <mergeCell ref="G14:N14"/>
    <mergeCell ref="P14:Q15"/>
    <mergeCell ref="S14:T15"/>
    <mergeCell ref="V14:V15"/>
    <mergeCell ref="H15:I15"/>
    <mergeCell ref="J15:K15"/>
    <mergeCell ref="L15:M15"/>
    <mergeCell ref="F2:T2"/>
    <mergeCell ref="F3:T3"/>
    <mergeCell ref="F4:T4"/>
    <mergeCell ref="F6:V6"/>
    <mergeCell ref="G7:N7"/>
    <mergeCell ref="P7:Q8"/>
    <mergeCell ref="S7:T8"/>
    <mergeCell ref="V7:V8"/>
    <mergeCell ref="H8:I8"/>
    <mergeCell ref="J8:K8"/>
  </mergeCells>
  <printOptions horizontalCentered="1" verticalCentered="1"/>
  <pageMargins left="0" right="0" top="0" bottom="0" header="0" footer="0"/>
  <pageSetup paperSize="9" scale="80" orientation="landscape" horizontalDpi="4294967293" r:id="rId1"/>
  <rowBreaks count="14" manualBreakCount="14">
    <brk id="25" max="21" man="1"/>
    <brk id="50" max="21" man="1"/>
    <brk id="75" max="21" man="1"/>
    <brk id="106" max="21" man="1"/>
    <brk id="132" max="21" man="1"/>
    <brk id="156" max="21" man="1"/>
    <brk id="174" max="21" man="1"/>
    <brk id="199" max="21" man="1"/>
    <brk id="217" max="21" man="1"/>
    <brk id="250" max="21" man="1"/>
    <brk id="282" max="21" man="1"/>
    <brk id="316" max="21" man="1"/>
    <brk id="342" max="21" man="1"/>
    <brk id="37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</vt:lpstr>
      <vt:lpstr>planning!Zone_d_impression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VBCE</dc:creator>
  <cp:lastModifiedBy>VBCE</cp:lastModifiedBy>
  <dcterms:created xsi:type="dcterms:W3CDTF">2018-02-25T13:15:42Z</dcterms:created>
  <dcterms:modified xsi:type="dcterms:W3CDTF">2018-02-25T13:17:36Z</dcterms:modified>
</cp:coreProperties>
</file>